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autoCompressPictures="0"/>
  <bookViews>
    <workbookView xWindow="160" yWindow="580" windowWidth="14060" windowHeight="9160"/>
  </bookViews>
  <sheets>
    <sheet name="P&amp;L" sheetId="1" r:id="rId1"/>
  </sheets>
  <definedNames>
    <definedName name="QB_COLUMN_59200" localSheetId="0">'P&amp;L'!$F$2</definedName>
    <definedName name="QB_COLUMN_63620" localSheetId="0">'P&amp;L'!$J$2</definedName>
    <definedName name="QB_COLUMN_64430" localSheetId="0">'P&amp;L'!$K$2</definedName>
    <definedName name="QB_COLUMN_76210" localSheetId="0">'P&amp;L'!$G$2</definedName>
    <definedName name="QB_ROW_106240" localSheetId="0">'P&amp;L'!$E$5</definedName>
    <definedName name="QB_ROW_107240" localSheetId="0">'P&amp;L'!$E$6</definedName>
    <definedName name="QB_ROW_108240" localSheetId="0">'P&amp;L'!$E$7</definedName>
    <definedName name="QB_ROW_109240" localSheetId="0">'P&amp;L'!$E$8</definedName>
    <definedName name="QB_ROW_110240" localSheetId="0">'P&amp;L'!$E$9</definedName>
    <definedName name="QB_ROW_111240" localSheetId="0">'P&amp;L'!$E$10</definedName>
    <definedName name="QB_ROW_112240" localSheetId="0">'P&amp;L'!$E$11</definedName>
    <definedName name="QB_ROW_113240" localSheetId="0">'P&amp;L'!$E$12</definedName>
    <definedName name="QB_ROW_114240" localSheetId="0">'P&amp;L'!$E$13</definedName>
    <definedName name="QB_ROW_115240" localSheetId="0">'P&amp;L'!$E$14</definedName>
    <definedName name="QB_ROW_116240" localSheetId="0">'P&amp;L'!$E$15</definedName>
    <definedName name="QB_ROW_117240" localSheetId="0">'P&amp;L'!$E$16</definedName>
    <definedName name="QB_ROW_118240" localSheetId="0">'P&amp;L'!$E$17</definedName>
    <definedName name="QB_ROW_119240" localSheetId="0">'P&amp;L'!$E$18</definedName>
    <definedName name="QB_ROW_120240" localSheetId="0">'P&amp;L'!$E$19</definedName>
    <definedName name="QB_ROW_121030" localSheetId="0">'P&amp;L'!$D$21</definedName>
    <definedName name="QB_ROW_121240" localSheetId="0">'P&amp;L'!$E$37</definedName>
    <definedName name="QB_ROW_121330" localSheetId="0">'P&amp;L'!$D$45</definedName>
    <definedName name="QB_ROW_122240" localSheetId="0">'P&amp;L'!$E$22</definedName>
    <definedName name="QB_ROW_123240" localSheetId="0">'P&amp;L'!$E$23</definedName>
    <definedName name="QB_ROW_124240" localSheetId="0">'P&amp;L'!$E$24</definedName>
    <definedName name="QB_ROW_125240" localSheetId="0">'P&amp;L'!$E$25</definedName>
    <definedName name="QB_ROW_126240" localSheetId="0">'P&amp;L'!$E$26</definedName>
    <definedName name="QB_ROW_127240" localSheetId="0">'P&amp;L'!$E$27</definedName>
    <definedName name="QB_ROW_130240" localSheetId="0">'P&amp;L'!$E$28</definedName>
    <definedName name="QB_ROW_13030" localSheetId="0">'P&amp;L'!$D$4</definedName>
    <definedName name="QB_ROW_131030" localSheetId="0">'P&amp;L'!$D$46</definedName>
    <definedName name="QB_ROW_131240" localSheetId="0">'P&amp;L'!$E$51</definedName>
    <definedName name="QB_ROW_131330" localSheetId="0">'P&amp;L'!$D$52</definedName>
    <definedName name="QB_ROW_132240" localSheetId="0">'P&amp;L'!$E$47</definedName>
    <definedName name="QB_ROW_133240" localSheetId="0">'P&amp;L'!$E$48</definedName>
    <definedName name="QB_ROW_13330" localSheetId="0">'P&amp;L'!$D$20</definedName>
    <definedName name="QB_ROW_137030" localSheetId="0">'P&amp;L'!$D$53</definedName>
    <definedName name="QB_ROW_137240" localSheetId="0">'P&amp;L'!$E$57</definedName>
    <definedName name="QB_ROW_137330" localSheetId="0">'P&amp;L'!$D$58</definedName>
    <definedName name="QB_ROW_138240" localSheetId="0">'P&amp;L'!$E$54</definedName>
    <definedName name="QB_ROW_139240" localSheetId="0">'P&amp;L'!$E$82</definedName>
    <definedName name="QB_ROW_140030" localSheetId="0">'P&amp;L'!$D$116</definedName>
    <definedName name="QB_ROW_140240" localSheetId="0">'P&amp;L'!$E$120</definedName>
    <definedName name="QB_ROW_140330" localSheetId="0">'P&amp;L'!$D$121</definedName>
    <definedName name="QB_ROW_141240" localSheetId="0">'P&amp;L'!$E$117</definedName>
    <definedName name="QB_ROW_142030" localSheetId="0">'P&amp;L'!$D$122</definedName>
    <definedName name="QB_ROW_142240" localSheetId="0">'P&amp;L'!$E$128</definedName>
    <definedName name="QB_ROW_142330" localSheetId="0">'P&amp;L'!$D$129</definedName>
    <definedName name="QB_ROW_143240" localSheetId="0">'P&amp;L'!$E$123</definedName>
    <definedName name="QB_ROW_144240" localSheetId="0">'P&amp;L'!$E$124</definedName>
    <definedName name="QB_ROW_146240" localSheetId="0">'P&amp;L'!$E$126</definedName>
    <definedName name="QB_ROW_147240" localSheetId="0">'P&amp;L'!$E$127</definedName>
    <definedName name="QB_ROW_148240" localSheetId="0">'P&amp;L'!$E$125</definedName>
    <definedName name="QB_ROW_150030" localSheetId="0">'P&amp;L'!$D$130</definedName>
    <definedName name="QB_ROW_150240" localSheetId="0">'P&amp;L'!$E$141</definedName>
    <definedName name="QB_ROW_150330" localSheetId="0">'P&amp;L'!$D$142</definedName>
    <definedName name="QB_ROW_151240" localSheetId="0">'P&amp;L'!$E$131</definedName>
    <definedName name="QB_ROW_154240" localSheetId="0">'P&amp;L'!$E$132</definedName>
    <definedName name="QB_ROW_155240" localSheetId="0">'P&amp;L'!$E$133</definedName>
    <definedName name="QB_ROW_156240" localSheetId="0">'P&amp;L'!$E$134</definedName>
    <definedName name="QB_ROW_157240" localSheetId="0">'P&amp;L'!$E$83</definedName>
    <definedName name="QB_ROW_158240" localSheetId="0">'P&amp;L'!$E$84</definedName>
    <definedName name="QB_ROW_159240" localSheetId="0">'P&amp;L'!$E$85</definedName>
    <definedName name="QB_ROW_160240" localSheetId="0">#REF!</definedName>
    <definedName name="QB_ROW_162240" localSheetId="0">'P&amp;L'!$E$118</definedName>
    <definedName name="QB_ROW_164240" localSheetId="0">'P&amp;L'!$E$135</definedName>
    <definedName name="QB_ROW_165240" localSheetId="0">#REF!</definedName>
    <definedName name="QB_ROW_166240" localSheetId="0">'P&amp;L'!$E$29</definedName>
    <definedName name="QB_ROW_167240" localSheetId="0">'P&amp;L'!$E$30</definedName>
    <definedName name="QB_ROW_168240" localSheetId="0">'P&amp;L'!$E$31</definedName>
    <definedName name="QB_ROW_172240" localSheetId="0">'P&amp;L'!$E$32</definedName>
    <definedName name="QB_ROW_17240" localSheetId="0">'P&amp;L'!$E$71</definedName>
    <definedName name="QB_ROW_174240" localSheetId="0">'P&amp;L'!$E$119</definedName>
    <definedName name="QB_ROW_175240" localSheetId="0">'P&amp;L'!$E$136</definedName>
    <definedName name="QB_ROW_176030" localSheetId="0">'P&amp;L'!$D$143</definedName>
    <definedName name="QB_ROW_176240" localSheetId="0">'P&amp;L'!$E$147</definedName>
    <definedName name="QB_ROW_176330" localSheetId="0">'P&amp;L'!$D$148</definedName>
    <definedName name="QB_ROW_177240" localSheetId="0">'P&amp;L'!$E$144</definedName>
    <definedName name="QB_ROW_178240" localSheetId="0">'P&amp;L'!$E$145</definedName>
    <definedName name="QB_ROW_179240" localSheetId="0">'P&amp;L'!$E$146</definedName>
    <definedName name="QB_ROW_180240" localSheetId="0">'P&amp;L'!$E$55</definedName>
    <definedName name="QB_ROW_181240" localSheetId="0">'P&amp;L'!$E$73</definedName>
    <definedName name="QB_ROW_182240" localSheetId="0">'P&amp;L'!$E$74</definedName>
    <definedName name="QB_ROW_18301" localSheetId="0">'P&amp;L'!$A$150</definedName>
    <definedName name="QB_ROW_183240" localSheetId="0">'P&amp;L'!$E$86</definedName>
    <definedName name="QB_ROW_184240" localSheetId="0">'P&amp;L'!$E$56</definedName>
    <definedName name="QB_ROW_185240" localSheetId="0">'P&amp;L'!$E$87</definedName>
    <definedName name="QB_ROW_190240" localSheetId="0">'P&amp;L'!$E$33</definedName>
    <definedName name="QB_ROW_19030" localSheetId="0">'P&amp;L'!$D$62</definedName>
    <definedName name="QB_ROW_191240" localSheetId="0">'P&amp;L'!$E$34</definedName>
    <definedName name="QB_ROW_192240" localSheetId="0">'P&amp;L'!$E$35</definedName>
    <definedName name="QB_ROW_19240" localSheetId="0">'P&amp;L'!$E$68</definedName>
    <definedName name="QB_ROW_193240" localSheetId="0">'P&amp;L'!$E$49</definedName>
    <definedName name="QB_ROW_19330" localSheetId="0">'P&amp;L'!$D$69</definedName>
    <definedName name="QB_ROW_194240" localSheetId="0">'P&amp;L'!$E$137</definedName>
    <definedName name="QB_ROW_195240" localSheetId="0">'P&amp;L'!$E$138</definedName>
    <definedName name="QB_ROW_196240" localSheetId="0">'P&amp;L'!$E$139</definedName>
    <definedName name="QB_ROW_197240" localSheetId="0">'P&amp;L'!$E$140</definedName>
    <definedName name="QB_ROW_198240" localSheetId="0">'P&amp;L'!$E$36</definedName>
    <definedName name="QB_ROW_199240" localSheetId="0">'P&amp;L'!$E$50</definedName>
    <definedName name="QB_ROW_20022" localSheetId="0">'P&amp;L'!$C$3</definedName>
    <definedName name="QB_ROW_20240" localSheetId="0">'P&amp;L'!$E$67</definedName>
    <definedName name="QB_ROW_20322" localSheetId="0">'P&amp;L'!$C$59</definedName>
    <definedName name="QB_ROW_21022" localSheetId="0">'P&amp;L'!$C$61</definedName>
    <definedName name="QB_ROW_21322" localSheetId="0">'P&amp;L'!$C$149</definedName>
    <definedName name="QB_ROW_23030" localSheetId="0">'P&amp;L'!$D$70</definedName>
    <definedName name="QB_ROW_23240" localSheetId="0">'P&amp;L'!$E$75</definedName>
    <definedName name="QB_ROW_23330" localSheetId="0">'P&amp;L'!$D$76</definedName>
    <definedName name="QB_ROW_25240" localSheetId="0">'P&amp;L'!$E$113</definedName>
    <definedName name="QB_ROW_30240" localSheetId="0">'P&amp;L'!$E$78</definedName>
    <definedName name="QB_ROW_33240" localSheetId="0">'P&amp;L'!$E$63</definedName>
    <definedName name="QB_ROW_42240" localSheetId="0">'P&amp;L'!$E$110</definedName>
    <definedName name="QB_ROW_46030" localSheetId="0">'P&amp;L'!$D$109</definedName>
    <definedName name="QB_ROW_46240" localSheetId="0">'P&amp;L'!$E$114</definedName>
    <definedName name="QB_ROW_46330" localSheetId="0">'P&amp;L'!$D$115</definedName>
    <definedName name="QB_ROW_48240" localSheetId="0">'P&amp;L'!$E$112</definedName>
    <definedName name="QB_ROW_54240" localSheetId="0">'P&amp;L'!$E$72</definedName>
    <definedName name="QB_ROW_63030" localSheetId="0">'P&amp;L'!$D$95</definedName>
    <definedName name="QB_ROW_63240" localSheetId="0">'P&amp;L'!$E$100</definedName>
    <definedName name="QB_ROW_63330" localSheetId="0">'P&amp;L'!$D$101</definedName>
    <definedName name="QB_ROW_65240" localSheetId="0">'P&amp;L'!$E$99</definedName>
    <definedName name="QB_ROW_66240" localSheetId="0">'P&amp;L'!$E$96</definedName>
    <definedName name="QB_ROW_69030" localSheetId="0">'P&amp;L'!$D$77</definedName>
    <definedName name="QB_ROW_69240" localSheetId="0">'P&amp;L'!$E$88</definedName>
    <definedName name="QB_ROW_69330" localSheetId="0">'P&amp;L'!$D$89</definedName>
    <definedName name="QB_ROW_70240" localSheetId="0">'P&amp;L'!$E$80</definedName>
    <definedName name="QB_ROW_71240" localSheetId="0">'P&amp;L'!$E$79</definedName>
    <definedName name="QB_ROW_72240" localSheetId="0">'P&amp;L'!$E$81</definedName>
    <definedName name="QB_ROW_7240" localSheetId="0">'P&amp;L'!$E$64</definedName>
    <definedName name="QB_ROW_75240" localSheetId="0">'P&amp;L'!$E$65</definedName>
    <definedName name="QB_ROW_77030" localSheetId="0">'P&amp;L'!$D$102</definedName>
    <definedName name="QB_ROW_77240" localSheetId="0">'P&amp;L'!$E$107</definedName>
    <definedName name="QB_ROW_77330" localSheetId="0">'P&amp;L'!$D$108</definedName>
    <definedName name="QB_ROW_78240" localSheetId="0">'P&amp;L'!$E$103</definedName>
    <definedName name="QB_ROW_82240" localSheetId="0">'P&amp;L'!$E$104</definedName>
    <definedName name="QB_ROW_8240" localSheetId="0">'P&amp;L'!$E$111</definedName>
    <definedName name="QB_ROW_84240" localSheetId="0">'P&amp;L'!$E$106</definedName>
    <definedName name="QB_ROW_86311" localSheetId="0">'P&amp;L'!$B$60</definedName>
    <definedName name="QB_ROW_87240" localSheetId="0">'P&amp;L'!$E$66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4" i="1" l="1"/>
  <c r="G145" i="1"/>
  <c r="H145" i="1"/>
  <c r="H148" i="1"/>
  <c r="F148" i="1"/>
  <c r="G144" i="1"/>
  <c r="G148" i="1"/>
  <c r="J148" i="1"/>
  <c r="K147" i="1"/>
  <c r="J147" i="1"/>
  <c r="K146" i="1"/>
  <c r="J146" i="1"/>
  <c r="J145" i="1"/>
  <c r="I145" i="1"/>
  <c r="K145" i="1"/>
  <c r="I144" i="1"/>
  <c r="I148" i="1"/>
  <c r="K148" i="1"/>
  <c r="I142" i="1"/>
  <c r="H142" i="1"/>
  <c r="G142" i="1"/>
  <c r="F142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I129" i="1"/>
  <c r="H129" i="1"/>
  <c r="G129" i="1"/>
  <c r="F129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F121" i="1"/>
  <c r="K120" i="1"/>
  <c r="J120" i="1"/>
  <c r="K119" i="1"/>
  <c r="J119" i="1"/>
  <c r="O118" i="1"/>
  <c r="I118" i="1"/>
  <c r="I117" i="1"/>
  <c r="I121" i="1"/>
  <c r="N118" i="1"/>
  <c r="H118" i="1"/>
  <c r="M118" i="1"/>
  <c r="G118" i="1"/>
  <c r="J118" i="1"/>
  <c r="K118" i="1"/>
  <c r="H117" i="1"/>
  <c r="H121" i="1"/>
  <c r="G117" i="1"/>
  <c r="J117" i="1"/>
  <c r="F115" i="1"/>
  <c r="K114" i="1"/>
  <c r="J114" i="1"/>
  <c r="K113" i="1"/>
  <c r="J113" i="1"/>
  <c r="H113" i="1"/>
  <c r="I113" i="1"/>
  <c r="K112" i="1"/>
  <c r="J112" i="1"/>
  <c r="H112" i="1"/>
  <c r="I112" i="1"/>
  <c r="O111" i="1"/>
  <c r="I111" i="1"/>
  <c r="N111" i="1"/>
  <c r="M111" i="1"/>
  <c r="H111" i="1"/>
  <c r="G111" i="1"/>
  <c r="J111" i="1"/>
  <c r="O110" i="1"/>
  <c r="I110" i="1"/>
  <c r="I115" i="1"/>
  <c r="N110" i="1"/>
  <c r="M110" i="1"/>
  <c r="H110" i="1"/>
  <c r="G110" i="1"/>
  <c r="G115" i="1"/>
  <c r="K115" i="1"/>
  <c r="F108" i="1"/>
  <c r="K107" i="1"/>
  <c r="J107" i="1"/>
  <c r="K106" i="1"/>
  <c r="J106" i="1"/>
  <c r="K105" i="1"/>
  <c r="J105" i="1"/>
  <c r="O104" i="1"/>
  <c r="I104" i="1"/>
  <c r="N104" i="1"/>
  <c r="M104" i="1"/>
  <c r="H104" i="1"/>
  <c r="G104" i="1"/>
  <c r="J104" i="1"/>
  <c r="I103" i="1"/>
  <c r="H103" i="1"/>
  <c r="H108" i="1"/>
  <c r="G103" i="1"/>
  <c r="G108" i="1"/>
  <c r="K108" i="1"/>
  <c r="O99" i="1"/>
  <c r="I99" i="1"/>
  <c r="I101" i="1"/>
  <c r="F101" i="1"/>
  <c r="K100" i="1"/>
  <c r="J100" i="1"/>
  <c r="N99" i="1"/>
  <c r="M99" i="1"/>
  <c r="G99" i="1"/>
  <c r="H99" i="1"/>
  <c r="H101" i="1"/>
  <c r="K98" i="1"/>
  <c r="J98" i="1"/>
  <c r="K97" i="1"/>
  <c r="J97" i="1"/>
  <c r="K96" i="1"/>
  <c r="J96" i="1"/>
  <c r="F94" i="1"/>
  <c r="K93" i="1"/>
  <c r="J93" i="1"/>
  <c r="I92" i="1"/>
  <c r="I94" i="1"/>
  <c r="H92" i="1"/>
  <c r="H94" i="1"/>
  <c r="G92" i="1"/>
  <c r="J92" i="1"/>
  <c r="K91" i="1"/>
  <c r="J91" i="1"/>
  <c r="G89" i="1"/>
  <c r="F89" i="1"/>
  <c r="K89" i="1"/>
  <c r="J89" i="1"/>
  <c r="K88" i="1"/>
  <c r="J88" i="1"/>
  <c r="K87" i="1"/>
  <c r="J87" i="1"/>
  <c r="K86" i="1"/>
  <c r="J86" i="1"/>
  <c r="K85" i="1"/>
  <c r="J85" i="1"/>
  <c r="H85" i="1"/>
  <c r="I85" i="1"/>
  <c r="I89" i="1"/>
  <c r="H89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G76" i="1"/>
  <c r="F76" i="1"/>
  <c r="K76" i="1"/>
  <c r="J76" i="1"/>
  <c r="K75" i="1"/>
  <c r="J75" i="1"/>
  <c r="K74" i="1"/>
  <c r="J74" i="1"/>
  <c r="H74" i="1"/>
  <c r="I74" i="1"/>
  <c r="K73" i="1"/>
  <c r="J73" i="1"/>
  <c r="H73" i="1"/>
  <c r="I73" i="1"/>
  <c r="I76" i="1"/>
  <c r="K72" i="1"/>
  <c r="J72" i="1"/>
  <c r="K71" i="1"/>
  <c r="J71" i="1"/>
  <c r="I69" i="1"/>
  <c r="H69" i="1"/>
  <c r="G69" i="1"/>
  <c r="F69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I58" i="1"/>
  <c r="H58" i="1"/>
  <c r="G58" i="1"/>
  <c r="F58" i="1"/>
  <c r="K58" i="1"/>
  <c r="J58" i="1"/>
  <c r="K57" i="1"/>
  <c r="J57" i="1"/>
  <c r="K56" i="1"/>
  <c r="J56" i="1"/>
  <c r="K55" i="1"/>
  <c r="J55" i="1"/>
  <c r="K54" i="1"/>
  <c r="J54" i="1"/>
  <c r="H47" i="1"/>
  <c r="H48" i="1"/>
  <c r="H49" i="1"/>
  <c r="H50" i="1"/>
  <c r="H51" i="1"/>
  <c r="H52" i="1"/>
  <c r="F52" i="1"/>
  <c r="G47" i="1"/>
  <c r="G49" i="1"/>
  <c r="G52" i="1"/>
  <c r="J52" i="1"/>
  <c r="K51" i="1"/>
  <c r="J51" i="1"/>
  <c r="I51" i="1"/>
  <c r="K50" i="1"/>
  <c r="J50" i="1"/>
  <c r="I50" i="1"/>
  <c r="J49" i="1"/>
  <c r="I49" i="1"/>
  <c r="K49" i="1"/>
  <c r="K48" i="1"/>
  <c r="J48" i="1"/>
  <c r="I48" i="1"/>
  <c r="I47" i="1"/>
  <c r="I52" i="1"/>
  <c r="K52" i="1"/>
  <c r="F45" i="1"/>
  <c r="G44" i="1"/>
  <c r="J44" i="1"/>
  <c r="I44" i="1"/>
  <c r="H44" i="1"/>
  <c r="K44" i="1"/>
  <c r="I43" i="1"/>
  <c r="H43" i="1"/>
  <c r="G43" i="1"/>
  <c r="J43" i="1"/>
  <c r="I42" i="1"/>
  <c r="H42" i="1"/>
  <c r="G42" i="1"/>
  <c r="K42" i="1"/>
  <c r="G41" i="1"/>
  <c r="J41" i="1"/>
  <c r="I41" i="1"/>
  <c r="H41" i="1"/>
  <c r="K41" i="1"/>
  <c r="G40" i="1"/>
  <c r="J40" i="1"/>
  <c r="I40" i="1"/>
  <c r="H40" i="1"/>
  <c r="K40" i="1"/>
  <c r="I39" i="1"/>
  <c r="H39" i="1"/>
  <c r="G39" i="1"/>
  <c r="J39" i="1"/>
  <c r="I38" i="1"/>
  <c r="H38" i="1"/>
  <c r="G38" i="1"/>
  <c r="K38" i="1"/>
  <c r="G37" i="1"/>
  <c r="J37" i="1"/>
  <c r="I37" i="1"/>
  <c r="H37" i="1"/>
  <c r="K37" i="1"/>
  <c r="G36" i="1"/>
  <c r="J36" i="1"/>
  <c r="I36" i="1"/>
  <c r="H36" i="1"/>
  <c r="K36" i="1"/>
  <c r="I35" i="1"/>
  <c r="H35" i="1"/>
  <c r="G35" i="1"/>
  <c r="J35" i="1"/>
  <c r="I34" i="1"/>
  <c r="H34" i="1"/>
  <c r="G34" i="1"/>
  <c r="K34" i="1"/>
  <c r="G33" i="1"/>
  <c r="J33" i="1"/>
  <c r="I33" i="1"/>
  <c r="H33" i="1"/>
  <c r="K33" i="1"/>
  <c r="G32" i="1"/>
  <c r="J32" i="1"/>
  <c r="I32" i="1"/>
  <c r="H32" i="1"/>
  <c r="K32" i="1"/>
  <c r="I31" i="1"/>
  <c r="H31" i="1"/>
  <c r="G31" i="1"/>
  <c r="J31" i="1"/>
  <c r="I30" i="1"/>
  <c r="H30" i="1"/>
  <c r="G30" i="1"/>
  <c r="K30" i="1"/>
  <c r="G29" i="1"/>
  <c r="J29" i="1"/>
  <c r="I29" i="1"/>
  <c r="H29" i="1"/>
  <c r="K29" i="1"/>
  <c r="G28" i="1"/>
  <c r="J28" i="1"/>
  <c r="I28" i="1"/>
  <c r="H28" i="1"/>
  <c r="K28" i="1"/>
  <c r="I27" i="1"/>
  <c r="H27" i="1"/>
  <c r="G27" i="1"/>
  <c r="J27" i="1"/>
  <c r="I26" i="1"/>
  <c r="H26" i="1"/>
  <c r="H22" i="1"/>
  <c r="H25" i="1"/>
  <c r="H45" i="1"/>
  <c r="G26" i="1"/>
  <c r="K26" i="1"/>
  <c r="G25" i="1"/>
  <c r="J25" i="1"/>
  <c r="I25" i="1"/>
  <c r="I22" i="1"/>
  <c r="I45" i="1"/>
  <c r="K25" i="1"/>
  <c r="K24" i="1"/>
  <c r="J24" i="1"/>
  <c r="K23" i="1"/>
  <c r="J23" i="1"/>
  <c r="G22" i="1"/>
  <c r="J22" i="1"/>
  <c r="G45" i="1"/>
  <c r="K45" i="1"/>
  <c r="M20" i="1"/>
  <c r="F20" i="1"/>
  <c r="I19" i="1"/>
  <c r="H19" i="1"/>
  <c r="G19" i="1"/>
  <c r="K19" i="1"/>
  <c r="G18" i="1"/>
  <c r="J18" i="1"/>
  <c r="I18" i="1"/>
  <c r="H18" i="1"/>
  <c r="K18" i="1"/>
  <c r="O17" i="1"/>
  <c r="I17" i="1"/>
  <c r="H17" i="1"/>
  <c r="G17" i="1"/>
  <c r="J17" i="1"/>
  <c r="O16" i="1"/>
  <c r="G16" i="1"/>
  <c r="J16" i="1"/>
  <c r="I16" i="1"/>
  <c r="H16" i="1"/>
  <c r="K16" i="1"/>
  <c r="N15" i="1"/>
  <c r="O15" i="1"/>
  <c r="I15" i="1"/>
  <c r="H15" i="1"/>
  <c r="G15" i="1"/>
  <c r="K15" i="1"/>
  <c r="N14" i="1"/>
  <c r="H14" i="1"/>
  <c r="G14" i="1"/>
  <c r="J14" i="1"/>
  <c r="N13" i="1"/>
  <c r="O13" i="1"/>
  <c r="G13" i="1"/>
  <c r="J13" i="1"/>
  <c r="I13" i="1"/>
  <c r="H13" i="1"/>
  <c r="K13" i="1"/>
  <c r="N12" i="1"/>
  <c r="O12" i="1"/>
  <c r="I12" i="1"/>
  <c r="G12" i="1"/>
  <c r="J12" i="1"/>
  <c r="H12" i="1"/>
  <c r="K12" i="1"/>
  <c r="O11" i="1"/>
  <c r="I11" i="1"/>
  <c r="G11" i="1"/>
  <c r="K11" i="1"/>
  <c r="H11" i="1"/>
  <c r="J11" i="1"/>
  <c r="N10" i="1"/>
  <c r="O10" i="1"/>
  <c r="G10" i="1"/>
  <c r="J10" i="1"/>
  <c r="I10" i="1"/>
  <c r="H10" i="1"/>
  <c r="K10" i="1"/>
  <c r="N9" i="1"/>
  <c r="O9" i="1"/>
  <c r="N20" i="1"/>
  <c r="G9" i="1"/>
  <c r="J9" i="1"/>
  <c r="I9" i="1"/>
  <c r="H9" i="1"/>
  <c r="K9" i="1"/>
  <c r="O8" i="1"/>
  <c r="I8" i="1"/>
  <c r="G8" i="1"/>
  <c r="K8" i="1"/>
  <c r="H8" i="1"/>
  <c r="J8" i="1"/>
  <c r="O7" i="1"/>
  <c r="G7" i="1"/>
  <c r="J7" i="1"/>
  <c r="I7" i="1"/>
  <c r="H7" i="1"/>
  <c r="K7" i="1"/>
  <c r="O6" i="1"/>
  <c r="I6" i="1"/>
  <c r="H6" i="1"/>
  <c r="G6" i="1"/>
  <c r="K6" i="1"/>
  <c r="I5" i="1"/>
  <c r="H5" i="1"/>
  <c r="G5" i="1"/>
  <c r="K5" i="1"/>
  <c r="K99" i="1"/>
  <c r="G101" i="1"/>
  <c r="K101" i="1"/>
  <c r="J99" i="1"/>
  <c r="J115" i="1"/>
  <c r="H20" i="1"/>
  <c r="H59" i="1"/>
  <c r="H60" i="1"/>
  <c r="J101" i="1"/>
  <c r="I108" i="1"/>
  <c r="J108" i="1"/>
  <c r="J6" i="1"/>
  <c r="G20" i="1"/>
  <c r="J45" i="1"/>
  <c r="I149" i="1"/>
  <c r="G94" i="1"/>
  <c r="J94" i="1"/>
  <c r="H76" i="1"/>
  <c r="K94" i="1"/>
  <c r="K104" i="1"/>
  <c r="H115" i="1"/>
  <c r="H149" i="1"/>
  <c r="K117" i="1"/>
  <c r="K22" i="1"/>
  <c r="K144" i="1"/>
  <c r="F149" i="1"/>
  <c r="J5" i="1"/>
  <c r="O14" i="1"/>
  <c r="I14" i="1"/>
  <c r="I20" i="1"/>
  <c r="I59" i="1"/>
  <c r="I60" i="1"/>
  <c r="I150" i="1"/>
  <c r="J15" i="1"/>
  <c r="J19" i="1"/>
  <c r="J26" i="1"/>
  <c r="J30" i="1"/>
  <c r="J34" i="1"/>
  <c r="J38" i="1"/>
  <c r="J42" i="1"/>
  <c r="F59" i="1"/>
  <c r="J103" i="1"/>
  <c r="G121" i="1"/>
  <c r="K121" i="1"/>
  <c r="K14" i="1"/>
  <c r="K17" i="1"/>
  <c r="K27" i="1"/>
  <c r="K31" i="1"/>
  <c r="K35" i="1"/>
  <c r="K39" i="1"/>
  <c r="K43" i="1"/>
  <c r="K47" i="1"/>
  <c r="K92" i="1"/>
  <c r="K110" i="1"/>
  <c r="K111" i="1"/>
  <c r="J47" i="1"/>
  <c r="K103" i="1"/>
  <c r="J110" i="1"/>
  <c r="J144" i="1"/>
  <c r="G59" i="1"/>
  <c r="K20" i="1"/>
  <c r="F60" i="1"/>
  <c r="G149" i="1"/>
  <c r="K149" i="1"/>
  <c r="J20" i="1"/>
  <c r="J121" i="1"/>
  <c r="O20" i="1"/>
  <c r="H150" i="1"/>
  <c r="F150" i="1"/>
  <c r="J149" i="1"/>
  <c r="K59" i="1"/>
  <c r="G60" i="1"/>
  <c r="J60" i="1"/>
  <c r="J59" i="1"/>
  <c r="G150" i="1"/>
  <c r="K150" i="1"/>
  <c r="K60" i="1"/>
  <c r="J150" i="1"/>
</calcChain>
</file>

<file path=xl/sharedStrings.xml><?xml version="1.0" encoding="utf-8"?>
<sst xmlns="http://schemas.openxmlformats.org/spreadsheetml/2006/main" count="196" uniqueCount="196">
  <si>
    <t>ATTENDEES</t>
  </si>
  <si>
    <t>900</t>
  </si>
  <si>
    <t>Budget</t>
  </si>
  <si>
    <t>Alt Budet</t>
  </si>
  <si>
    <t>Alt Budet</t>
  </si>
  <si>
    <t>$ Over Budget</t>
  </si>
  <si>
    <t>% of Budget</t>
  </si>
  <si>
    <t>Cost/Person</t>
  </si>
  <si>
    <t>Projected Number of Attendees</t>
  </si>
  <si>
    <t>INCOME</t>
  </si>
  <si>
    <t>100 · Registration</t>
  </si>
  <si>
    <t>101 · Member Early</t>
  </si>
  <si>
    <t>102 · Member Standard</t>
  </si>
  <si>
    <t>103 · Member Late/On-Site</t>
  </si>
  <si>
    <t>104 · Non-Member Early</t>
  </si>
  <si>
    <t>105 · Non-Member Standard</t>
  </si>
  <si>
    <t>106 · Non-Member Late/On-Site</t>
  </si>
  <si>
    <t>107 · Member One Day</t>
  </si>
  <si>
    <t>108 · Non-Member One Day</t>
  </si>
  <si>
    <t>109 · Student Full - Full</t>
  </si>
  <si>
    <t>110 · Student - 1-Day</t>
  </si>
  <si>
    <t>111 · Young Planner - Full</t>
  </si>
  <si>
    <t>112 · Young Planner - 1-Day</t>
  </si>
  <si>
    <t>113 · Life Member - Full</t>
  </si>
  <si>
    <t>114 · Speaker - Full</t>
  </si>
  <si>
    <t>115 · Speaker - One Day</t>
  </si>
  <si>
    <t>Total 100 · Registration</t>
  </si>
  <si>
    <t>200 · Sponsorships</t>
  </si>
  <si>
    <t>201   Booth &amp; Opening Reception</t>
  </si>
  <si>
    <t>2 @ 6,000 each</t>
  </si>
  <si>
    <t>202   Booth &amp; Conference Bag</t>
  </si>
  <si>
    <t>1 @ 6,000 each</t>
  </si>
  <si>
    <t>203 · Booth &amp; Conference Badges/Lanyards</t>
  </si>
  <si>
    <t>1 @ 6,000 each</t>
  </si>
  <si>
    <t>204   Booth &amp; Opening Plenary Session</t>
  </si>
  <si>
    <t>3 @ 3,000 each</t>
  </si>
  <si>
    <t>205 · Booth &amp; Keynote Luncheon</t>
  </si>
  <si>
    <t>4 @ 3,000 each</t>
  </si>
  <si>
    <t>206   Booth &amp; Awards Luncheon</t>
  </si>
  <si>
    <t>4 @ 3,000 each</t>
  </si>
  <si>
    <t>207   Booth &amp; CPF Reception</t>
  </si>
  <si>
    <t>4 @ 3,000 each</t>
  </si>
  <si>
    <t>208   Booth &amp; Mobile Phone Application</t>
  </si>
  <si>
    <t>3 @ 3,000 each</t>
  </si>
  <si>
    <t>209 · Booth &amp; Student Awards Luncheon</t>
  </si>
  <si>
    <t>4 @ 2,500 each</t>
  </si>
  <si>
    <t>210   Booth &amp; Continental Breakfast</t>
  </si>
  <si>
    <t>2 @ 2,500 each</t>
  </si>
  <si>
    <t>211   Booth &amp; Closing Plenary Session</t>
  </si>
  <si>
    <t>3 @ 2,500 each</t>
  </si>
  <si>
    <t>221   Event Only: Opening Reception, Opening Plenary or Keynote Luncheon</t>
  </si>
  <si>
    <t>4 @ 1,500 each (no limit)</t>
  </si>
  <si>
    <t>222   Event Only: Awards Luncheon, CPF Reception, or Closing Plenary Session</t>
  </si>
  <si>
    <t>4 @ 1,000 each (no limit)</t>
  </si>
  <si>
    <t>223   Event Only: Student Awards Luncheon or Coninental Breakfast</t>
  </si>
  <si>
    <t>4 @ 500 each (no limit)</t>
  </si>
  <si>
    <t>224   Event Only: Mobile Workshops</t>
  </si>
  <si>
    <t>8 @ 1,000 each</t>
  </si>
  <si>
    <t>225   Event Only: Diversity Summit</t>
  </si>
  <si>
    <t>4 @ 1,000 each</t>
  </si>
  <si>
    <t>226   Event Only: Afternoon Breaks</t>
  </si>
  <si>
    <t>3 @ 750 each</t>
  </si>
  <si>
    <t>231   Booth Only: Government Agency</t>
  </si>
  <si>
    <t>5 @ 1,000 each</t>
  </si>
  <si>
    <t>232   Booth Only: Non-Profit Organization</t>
  </si>
  <si>
    <t>5 @ 500 each</t>
  </si>
  <si>
    <t>241   Advertising: Website</t>
  </si>
  <si>
    <t>10 @ 250 each</t>
  </si>
  <si>
    <t>242   Advertising: Mobile App</t>
  </si>
  <si>
    <t>10 @ 500 each</t>
  </si>
  <si>
    <t>243   Advertising: Program</t>
  </si>
  <si>
    <t>30 @ 500 each</t>
  </si>
  <si>
    <t>244   Advertising: Table Top Ads</t>
  </si>
  <si>
    <t>10 @ 750 each</t>
  </si>
  <si>
    <t>Total 200 · Sponsorships</t>
  </si>
  <si>
    <t>300 · Mobile Wksp/Meal Tkts/Carbon OS</t>
  </si>
  <si>
    <t>301 · Mobile Workshop Ticket</t>
  </si>
  <si>
    <t>302 · Extra Meal Ticket</t>
  </si>
  <si>
    <t>303 · Extra Opening Reception Tickets</t>
  </si>
  <si>
    <t>304 · Carbon Offset</t>
  </si>
  <si>
    <t>300 · Mobile Wksp/Meal Tkts/Carbon OS - Other</t>
  </si>
  <si>
    <t>Total 300 · Mobile Wksp/Meal Tkts/Carbon OS</t>
  </si>
  <si>
    <t>500 · Non-Conference Revenue</t>
  </si>
  <si>
    <t>501 · Interest</t>
  </si>
  <si>
    <t>502 · Membership Fee</t>
  </si>
  <si>
    <t>503 · Miscellaneous Income</t>
  </si>
  <si>
    <t>500 · Non-Conference Revenue - Other</t>
  </si>
  <si>
    <t>Total 500 · Non-Conference Revenue</t>
  </si>
  <si>
    <t>Total Income</t>
  </si>
  <si>
    <t>Gross Profit</t>
  </si>
  <si>
    <t>EXPENSES</t>
  </si>
  <si>
    <t>1100 · Pre-Conference Administration</t>
  </si>
  <si>
    <t>1101 · Committee Meals &amp; Expenses</t>
  </si>
  <si>
    <t>1102 · Fax/Phone/Postage</t>
  </si>
  <si>
    <t>1103 · Session Submittal Binders</t>
  </si>
  <si>
    <t>1104 · Misc. Committee Expenses</t>
  </si>
  <si>
    <t>1105 · Misc Admin Pre-Conf Exp</t>
  </si>
  <si>
    <t>1100 · Pre-Conference Administration - Other</t>
  </si>
  <si>
    <t>Total 1100 · Pre-Conference Administration</t>
  </si>
  <si>
    <t>1200 · Administration (During Conf)</t>
  </si>
  <si>
    <t>1201 · Hotel Room/Conf Regis Expense</t>
  </si>
  <si>
    <t>???</t>
  </si>
  <si>
    <t>1202 · Conference Insurance</t>
  </si>
  <si>
    <t>Need to know insurance Requirements</t>
  </si>
  <si>
    <t>1207 · Bags (offset by sponsor)</t>
  </si>
  <si>
    <t>Opt out provision</t>
  </si>
  <si>
    <t>1208 · Lanyards (offset by sponsor)</t>
  </si>
  <si>
    <t>tbd</t>
  </si>
  <si>
    <t>1200 · Administration (During Conf) - Other</t>
  </si>
  <si>
    <t>Total 1200 · Administration (During Conf)</t>
  </si>
  <si>
    <t>1300 · Post-Conference Administration</t>
  </si>
  <si>
    <t>1301 · Administration Fee</t>
  </si>
  <si>
    <t>Need contract</t>
  </si>
  <si>
    <t>1302 · Registration Company</t>
  </si>
  <si>
    <t>Will change.  Francine formula via national</t>
  </si>
  <si>
    <t>1303 · CM and Session Submittal Maint.</t>
  </si>
  <si>
    <t>1304 · Carbon Offset</t>
  </si>
  <si>
    <t>1305 · Close Out Books/Audit</t>
  </si>
  <si>
    <t>1306 · Administration Fee</t>
  </si>
  <si>
    <t>1307 ·Conference Coordinator Reimbursed Exp</t>
  </si>
  <si>
    <t>1309 · Merchant Credit Card Fees</t>
  </si>
  <si>
    <t>1310 · Volunteer Stipend</t>
  </si>
  <si>
    <t>1311 · Miscellaneous Post Conf Expense</t>
  </si>
  <si>
    <t>1300 · Post-Conference Administration - Other</t>
  </si>
  <si>
    <t>Total 1300 · Post-Conference Administration</t>
  </si>
  <si>
    <t>1400 · Saturday Professional  &amp; Student Development</t>
  </si>
  <si>
    <t>1401 · Contental Breakfast</t>
  </si>
  <si>
    <t>???</t>
  </si>
  <si>
    <t>1403 - Student Lunch</t>
  </si>
  <si>
    <t>1404 - Saturday Event (e.g. salon or community plng.)</t>
  </si>
  <si>
    <t>Total 1400 · Saturday Event &amp; Expenses</t>
  </si>
  <si>
    <t>1410 · Opening Event</t>
  </si>
  <si>
    <t>1411 · Facility Rental</t>
  </si>
  <si>
    <t>tbd</t>
  </si>
  <si>
    <t>1412 - Transportation</t>
  </si>
  <si>
    <t>tbd</t>
  </si>
  <si>
    <t>1413 - Entertainment</t>
  </si>
  <si>
    <t>tbd</t>
  </si>
  <si>
    <t>1414 · Food (Bars/Facility)</t>
  </si>
  <si>
    <t>1410 · Other Expenses &amp; Contingency</t>
  </si>
  <si>
    <t>Total 1410 · Opening Event Expenses</t>
  </si>
  <si>
    <t>1500 · Sunday Sessions (first day)</t>
  </si>
  <si>
    <t>1501 · Breakfast</t>
  </si>
  <si>
    <t>1503 · Plenary or Awards Lunch</t>
  </si>
  <si>
    <t>1504 - Diversity Summit</t>
  </si>
  <si>
    <t>1506 - Opening Session Keynote Speaker</t>
  </si>
  <si>
    <t>tbd</t>
  </si>
  <si>
    <t>1500 · Sunday Sessions - Other</t>
  </si>
  <si>
    <t>Total 1500 · Sunday Sessions (first day)</t>
  </si>
  <si>
    <t>1600 · Monday Sessions (second day)</t>
  </si>
  <si>
    <t>1601 · Breakfast</t>
  </si>
  <si>
    <t>1603 · Plenary or Awards Lunch</t>
  </si>
  <si>
    <t>1604 · Consultant PM Recption</t>
  </si>
  <si>
    <t>hosted bar?</t>
  </si>
  <si>
    <t>1605 ·  Evening Event</t>
  </si>
  <si>
    <t>1600 · Monday Sessions - Other</t>
  </si>
  <si>
    <t>Total 1600 · Monday Sessions (second day)</t>
  </si>
  <si>
    <t>1700 · Tuesday Sessions (third day)</t>
  </si>
  <si>
    <t>1701 · Breakfast</t>
  </si>
  <si>
    <t>1702 · Closing Lunch</t>
  </si>
  <si>
    <t>1703 · Closing Session Keynote Speaker</t>
  </si>
  <si>
    <t>tbd</t>
  </si>
  <si>
    <t>1700 · Tuesday Sessions - Other</t>
  </si>
  <si>
    <t>Total 1700 · Tuesday Sessions (third day)</t>
  </si>
  <si>
    <t>1800 · Meeting Rooms</t>
  </si>
  <si>
    <t>1801 · Regis &amp; Exhibits (Decorator)</t>
  </si>
  <si>
    <t>1802 · Exhibit Hall Space Fee (Hotel)</t>
  </si>
  <si>
    <t>1803 · Audio Visual/Internet</t>
  </si>
  <si>
    <t>Placeholder only - tbd</t>
  </si>
  <si>
    <t>1804 · Other Speakers/Honoraria Exp</t>
  </si>
  <si>
    <t>tbd???</t>
  </si>
  <si>
    <t>1805 · Misc Meeting Room Expense</t>
  </si>
  <si>
    <t>1800 · Meeting Rooms - Other</t>
  </si>
  <si>
    <t>Total 1800 · Meeting Rooms</t>
  </si>
  <si>
    <t>1900 · Publicity Materials</t>
  </si>
  <si>
    <t>1901 · Program</t>
  </si>
  <si>
    <t>1904 · Signage - Directional, Sponsor</t>
  </si>
  <si>
    <t>1905 · Pre-Conf Promotional Souvenirs</t>
  </si>
  <si>
    <t>1906 · Design STD/CPF Flyers</t>
  </si>
  <si>
    <t>1907 · Mobile App</t>
  </si>
  <si>
    <t>tbd</t>
  </si>
  <si>
    <t>1908 · Sponsor/Exhibitor Form</t>
  </si>
  <si>
    <t>1909 · Exhibitor Map</t>
  </si>
  <si>
    <t>1910 · At-a-Glance Form</t>
  </si>
  <si>
    <t>1911 · Website Maintenance</t>
  </si>
  <si>
    <t>1912 · Misc Publicity Materials Exp</t>
  </si>
  <si>
    <t>1900 · Publicity Materials - Other</t>
  </si>
  <si>
    <t>Total 1900 · Publicity Materials</t>
  </si>
  <si>
    <t>4000 · Mobile Workshops Exp</t>
  </si>
  <si>
    <t>4001 · Transportation Costs</t>
  </si>
  <si>
    <t>4002 · Food</t>
  </si>
  <si>
    <t>4003 · Misc Mobile Workshops Exp</t>
  </si>
  <si>
    <t>4000 · Mobile Workshops Exp - Other</t>
  </si>
  <si>
    <t>Total 4000 · Mobile Workshops Exp</t>
  </si>
  <si>
    <t>Total Expenses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</si>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</sst>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#,##0.00;\-#,##0.00"/>
    <numFmt numFmtId="166" formatCode="#,##0.0#%;\-#,##0.0#%"/>
  </numFmts>
  <fonts count="224" x14ac:knownFonts="1">
    <font>
      <sz val="10"/>
      <name val="Arial"/>
    </font>
    <font>
      <b/>
      <sz val="8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11"/>
      <color rgb="FF000000"/>
      <name val="Calibri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11"/>
      <color rgb="FF000000"/>
      <name val="Calibri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name val="Arial"/>
    </font>
    <font>
      <sz val="8"/>
      <name val="Arial"/>
    </font>
    <font>
      <sz val="8"/>
      <color rgb="FF000000"/>
      <name val="Arial"/>
    </font>
    <font>
      <sz val="8"/>
      <color rgb="FF000000"/>
      <name val="Arial"/>
    </font>
    <font>
      <sz val="8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name val="Arial"/>
    </font>
    <font>
      <sz val="8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11"/>
      <color rgb="FF000000"/>
      <name val="Calibri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name val="Arial"/>
    </font>
    <font>
      <sz val="8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11"/>
      <color rgb="FF000000"/>
      <name val="Calibri"/>
    </font>
    <font>
      <sz val="8"/>
      <color rgb="FFFF0000"/>
      <name val="Arial"/>
    </font>
    <font>
      <sz val="8"/>
      <color rgb="FFFF0000"/>
      <name val="Arial"/>
    </font>
    <font>
      <sz val="11"/>
      <color rgb="FFFF0000"/>
      <name val="Calibri"/>
    </font>
    <font>
      <b/>
      <sz val="8"/>
      <color rgb="FF000000"/>
      <name val="Arial"/>
    </font>
    <font>
      <sz val="11"/>
      <color rgb="FFDD7E6B"/>
      <name val="Calibri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name val="Arial"/>
    </font>
    <font>
      <b/>
      <sz val="8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name val="Arial"/>
    </font>
    <font>
      <b/>
      <sz val="8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name val="Arial"/>
    </font>
    <font>
      <sz val="8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name val="Arial"/>
    </font>
    <font>
      <sz val="8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FF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rgb="FFFFFF00"/>
      </patternFill>
    </fill>
    <fill>
      <patternFill patternType="solid">
        <fgColor rgb="FF93C47D"/>
        <bgColor rgb="FF93C47D"/>
      </patternFill>
    </fill>
    <fill>
      <patternFill patternType="solid">
        <fgColor rgb="FFF6B26B"/>
        <bgColor rgb="FFF6B26B"/>
      </patternFill>
    </fill>
    <fill>
      <patternFill patternType="solid">
        <fgColor rgb="FFFFFFFF"/>
        <bgColor rgb="FFFFFFFF"/>
      </patternFill>
    </fill>
  </fills>
  <borders count="16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000000"/>
      </top>
      <bottom/>
      <diagonal/>
    </border>
    <border>
      <left style="thin">
        <color rgb="FFD9D9D9"/>
      </left>
      <right style="thin">
        <color rgb="FFD9D9D9"/>
      </right>
      <top style="thin">
        <color rgb="FF000000"/>
      </top>
      <bottom/>
      <diagonal/>
    </border>
    <border>
      <left style="thin">
        <color rgb="FFD9D9D9"/>
      </left>
      <right style="thin">
        <color rgb="FFD9D9D9"/>
      </right>
      <top style="thin">
        <color rgb="FF000000"/>
      </top>
      <bottom/>
      <diagonal/>
    </border>
    <border>
      <left style="thin">
        <color rgb="FFD9D9D9"/>
      </left>
      <right style="thin">
        <color rgb="FFD9D9D9"/>
      </right>
      <top style="thin">
        <color rgb="FF000000"/>
      </top>
      <bottom/>
      <diagonal/>
    </border>
    <border>
      <left style="thin">
        <color rgb="FFD9D9D9"/>
      </left>
      <right style="thin">
        <color rgb="FFD9D9D9"/>
      </right>
      <top style="thin">
        <color rgb="FF000000"/>
      </top>
      <bottom/>
      <diagonal/>
    </border>
    <border>
      <left style="thin">
        <color rgb="FFD9D9D9"/>
      </left>
      <right/>
      <top style="thin">
        <color rgb="FF000000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000000"/>
      </bottom>
      <diagonal/>
    </border>
    <border>
      <left style="thin">
        <color rgb="FFD9D9D9"/>
      </left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 style="medium">
        <color rgb="FF000000"/>
      </top>
      <bottom/>
      <diagonal/>
    </border>
    <border>
      <left style="thin">
        <color rgb="FFD9D9D9"/>
      </left>
      <right style="thin">
        <color rgb="FFD9D9D9"/>
      </right>
      <top style="medium">
        <color rgb="FF000000"/>
      </top>
      <bottom/>
      <diagonal/>
    </border>
    <border>
      <left style="thin">
        <color rgb="FFD9D9D9"/>
      </left>
      <right style="thin">
        <color rgb="FFD9D9D9"/>
      </right>
      <top style="medium">
        <color rgb="FF000000"/>
      </top>
      <bottom/>
      <diagonal/>
    </border>
    <border>
      <left style="thin">
        <color rgb="FFD9D9D9"/>
      </left>
      <right style="thin">
        <color rgb="FFD9D9D9"/>
      </right>
      <top style="medium">
        <color rgb="FF000000"/>
      </top>
      <bottom/>
      <diagonal/>
    </border>
    <border>
      <left style="thin">
        <color rgb="FFD9D9D9"/>
      </left>
      <right style="thin">
        <color rgb="FFD9D9D9"/>
      </right>
      <top style="medium">
        <color rgb="FF000000"/>
      </top>
      <bottom/>
      <diagonal/>
    </border>
    <border>
      <left style="thin">
        <color rgb="FFD9D9D9"/>
      </left>
      <right/>
      <top style="medium">
        <color rgb="FF000000"/>
      </top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49" fontId="1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5" fillId="5" borderId="4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164" fontId="7" fillId="2" borderId="1" xfId="0" applyNumberFormat="1" applyFont="1" applyFill="1" applyBorder="1"/>
    <xf numFmtId="49" fontId="8" fillId="2" borderId="5" xfId="0" applyNumberFormat="1" applyFont="1" applyFill="1" applyBorder="1" applyAlignment="1">
      <alignment horizontal="center"/>
    </xf>
    <xf numFmtId="3" fontId="9" fillId="2" borderId="1" xfId="0" applyNumberFormat="1" applyFont="1" applyFill="1" applyBorder="1"/>
    <xf numFmtId="0" fontId="10" fillId="2" borderId="1" xfId="0" applyFont="1" applyFill="1" applyBorder="1"/>
    <xf numFmtId="49" fontId="11" fillId="2" borderId="1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3" fillId="4" borderId="7" xfId="0" applyNumberFormat="1" applyFont="1" applyFill="1" applyBorder="1" applyAlignment="1">
      <alignment horizontal="center"/>
    </xf>
    <xf numFmtId="49" fontId="14" fillId="5" borderId="8" xfId="0" applyNumberFormat="1" applyFont="1" applyFill="1" applyBorder="1" applyAlignment="1">
      <alignment horizontal="left"/>
    </xf>
    <xf numFmtId="164" fontId="15" fillId="2" borderId="9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49" fontId="18" fillId="2" borderId="1" xfId="0" applyNumberFormat="1" applyFont="1" applyFill="1" applyBorder="1" applyAlignment="1"/>
    <xf numFmtId="165" fontId="19" fillId="2" borderId="1" xfId="0" applyNumberFormat="1" applyFont="1" applyFill="1" applyBorder="1"/>
    <xf numFmtId="165" fontId="20" fillId="3" borderId="11" xfId="0" applyNumberFormat="1" applyFont="1" applyFill="1" applyBorder="1"/>
    <xf numFmtId="165" fontId="21" fillId="4" borderId="12" xfId="0" applyNumberFormat="1" applyFont="1" applyFill="1" applyBorder="1"/>
    <xf numFmtId="165" fontId="22" fillId="5" borderId="13" xfId="0" applyNumberFormat="1" applyFont="1" applyFill="1" applyBorder="1"/>
    <xf numFmtId="166" fontId="23" fillId="2" borderId="1" xfId="0" applyNumberFormat="1" applyFont="1" applyFill="1" applyBorder="1"/>
    <xf numFmtId="164" fontId="24" fillId="2" borderId="1" xfId="0" applyNumberFormat="1" applyFont="1" applyFill="1" applyBorder="1"/>
    <xf numFmtId="3" fontId="25" fillId="3" borderId="14" xfId="0" applyNumberFormat="1" applyFont="1" applyFill="1" applyBorder="1" applyAlignment="1">
      <alignment horizontal="center" vertical="top"/>
    </xf>
    <xf numFmtId="3" fontId="26" fillId="4" borderId="15" xfId="0" applyNumberFormat="1" applyFont="1" applyFill="1" applyBorder="1" applyAlignment="1">
      <alignment horizontal="center" vertical="top"/>
    </xf>
    <xf numFmtId="3" fontId="27" fillId="5" borderId="16" xfId="0" applyNumberFormat="1" applyFont="1" applyFill="1" applyBorder="1" applyAlignment="1">
      <alignment horizontal="right" vertical="top"/>
    </xf>
    <xf numFmtId="0" fontId="28" fillId="2" borderId="1" xfId="0" applyFont="1" applyFill="1" applyBorder="1"/>
    <xf numFmtId="165" fontId="29" fillId="2" borderId="1" xfId="0" applyNumberFormat="1" applyFont="1" applyFill="1" applyBorder="1"/>
    <xf numFmtId="165" fontId="30" fillId="3" borderId="1" xfId="0" applyNumberFormat="1" applyFont="1" applyFill="1" applyBorder="1"/>
    <xf numFmtId="165" fontId="31" fillId="4" borderId="1" xfId="0" applyNumberFormat="1" applyFont="1" applyFill="1" applyBorder="1"/>
    <xf numFmtId="165" fontId="32" fillId="5" borderId="1" xfId="0" applyNumberFormat="1" applyFont="1" applyFill="1" applyBorder="1"/>
    <xf numFmtId="166" fontId="33" fillId="2" borderId="1" xfId="0" applyNumberFormat="1" applyFont="1" applyFill="1" applyBorder="1"/>
    <xf numFmtId="164" fontId="34" fillId="6" borderId="17" xfId="0" applyNumberFormat="1" applyFont="1" applyFill="1" applyBorder="1" applyAlignment="1">
      <alignment horizontal="center"/>
    </xf>
    <xf numFmtId="3" fontId="35" fillId="3" borderId="18" xfId="0" applyNumberFormat="1" applyFont="1" applyFill="1" applyBorder="1" applyAlignment="1">
      <alignment horizontal="center"/>
    </xf>
    <xf numFmtId="3" fontId="36" fillId="5" borderId="19" xfId="0" applyNumberFormat="1" applyFont="1" applyFill="1" applyBorder="1" applyAlignment="1">
      <alignment horizontal="right" wrapText="1"/>
    </xf>
    <xf numFmtId="165" fontId="37" fillId="2" borderId="1" xfId="0" applyNumberFormat="1" applyFont="1" applyFill="1" applyBorder="1" applyAlignment="1"/>
    <xf numFmtId="164" fontId="38" fillId="6" borderId="20" xfId="0" applyNumberFormat="1" applyFont="1" applyFill="1" applyBorder="1" applyAlignment="1"/>
    <xf numFmtId="3" fontId="39" fillId="3" borderId="21" xfId="0" applyNumberFormat="1" applyFont="1" applyFill="1" applyBorder="1" applyAlignment="1"/>
    <xf numFmtId="3" fontId="40" fillId="4" borderId="1" xfId="0" applyNumberFormat="1" applyFont="1" applyFill="1" applyBorder="1" applyAlignment="1">
      <alignment wrapText="1"/>
    </xf>
    <xf numFmtId="3" fontId="41" fillId="5" borderId="1" xfId="0" applyNumberFormat="1" applyFont="1" applyFill="1" applyBorder="1" applyAlignment="1">
      <alignment horizontal="right" wrapText="1"/>
    </xf>
    <xf numFmtId="164" fontId="42" fillId="2" borderId="1" xfId="0" applyNumberFormat="1" applyFont="1" applyFill="1" applyBorder="1" applyAlignment="1"/>
    <xf numFmtId="3" fontId="43" fillId="3" borderId="1" xfId="0" applyNumberFormat="1" applyFont="1" applyFill="1" applyBorder="1" applyAlignment="1"/>
    <xf numFmtId="3" fontId="44" fillId="4" borderId="1" xfId="0" applyNumberFormat="1" applyFont="1" applyFill="1" applyBorder="1" applyAlignment="1">
      <alignment wrapText="1"/>
    </xf>
    <xf numFmtId="165" fontId="45" fillId="3" borderId="1" xfId="0" applyNumberFormat="1" applyFont="1" applyFill="1" applyBorder="1" applyAlignment="1"/>
    <xf numFmtId="165" fontId="46" fillId="2" borderId="22" xfId="0" applyNumberFormat="1" applyFont="1" applyFill="1" applyBorder="1"/>
    <xf numFmtId="165" fontId="47" fillId="3" borderId="23" xfId="0" applyNumberFormat="1" applyFont="1" applyFill="1" applyBorder="1"/>
    <xf numFmtId="165" fontId="48" fillId="4" borderId="24" xfId="0" applyNumberFormat="1" applyFont="1" applyFill="1" applyBorder="1"/>
    <xf numFmtId="165" fontId="49" fillId="5" borderId="25" xfId="0" applyNumberFormat="1" applyFont="1" applyFill="1" applyBorder="1"/>
    <xf numFmtId="166" fontId="50" fillId="2" borderId="26" xfId="0" applyNumberFormat="1" applyFont="1" applyFill="1" applyBorder="1"/>
    <xf numFmtId="164" fontId="51" fillId="2" borderId="27" xfId="0" applyNumberFormat="1" applyFont="1" applyFill="1" applyBorder="1" applyAlignment="1"/>
    <xf numFmtId="3" fontId="52" fillId="3" borderId="28" xfId="0" applyNumberFormat="1" applyFont="1" applyFill="1" applyBorder="1" applyAlignment="1"/>
    <xf numFmtId="3" fontId="53" fillId="4" borderId="29" xfId="0" applyNumberFormat="1" applyFont="1" applyFill="1" applyBorder="1" applyAlignment="1">
      <alignment wrapText="1"/>
    </xf>
    <xf numFmtId="3" fontId="54" fillId="5" borderId="30" xfId="0" applyNumberFormat="1" applyFont="1" applyFill="1" applyBorder="1" applyAlignment="1">
      <alignment horizontal="right" wrapText="1"/>
    </xf>
    <xf numFmtId="165" fontId="55" fillId="3" borderId="31" xfId="0" applyNumberFormat="1" applyFont="1" applyFill="1" applyBorder="1"/>
    <xf numFmtId="165" fontId="56" fillId="4" borderId="32" xfId="0" applyNumberFormat="1" applyFont="1" applyFill="1" applyBorder="1"/>
    <xf numFmtId="165" fontId="57" fillId="5" borderId="33" xfId="0" applyNumberFormat="1" applyFont="1" applyFill="1" applyBorder="1"/>
    <xf numFmtId="3" fontId="58" fillId="3" borderId="1" xfId="0" applyNumberFormat="1" applyFont="1" applyFill="1" applyBorder="1"/>
    <xf numFmtId="3" fontId="59" fillId="4" borderId="1" xfId="0" applyNumberFormat="1" applyFont="1" applyFill="1" applyBorder="1"/>
    <xf numFmtId="3" fontId="60" fillId="5" borderId="1" xfId="0" applyNumberFormat="1" applyFont="1" applyFill="1" applyBorder="1"/>
    <xf numFmtId="44" fontId="61" fillId="2" borderId="1" xfId="0" applyNumberFormat="1" applyFont="1" applyFill="1" applyBorder="1"/>
    <xf numFmtId="165" fontId="62" fillId="3" borderId="34" xfId="0" applyNumberFormat="1" applyFont="1" applyFill="1" applyBorder="1"/>
    <xf numFmtId="165" fontId="63" fillId="4" borderId="35" xfId="0" applyNumberFormat="1" applyFont="1" applyFill="1" applyBorder="1"/>
    <xf numFmtId="165" fontId="64" fillId="5" borderId="36" xfId="0" applyNumberFormat="1" applyFont="1" applyFill="1" applyBorder="1"/>
    <xf numFmtId="3" fontId="65" fillId="2" borderId="1" xfId="0" applyNumberFormat="1" applyFont="1" applyFill="1" applyBorder="1" applyAlignment="1">
      <alignment wrapText="1"/>
    </xf>
    <xf numFmtId="3" fontId="66" fillId="2" borderId="1" xfId="0" applyNumberFormat="1" applyFont="1" applyFill="1" applyBorder="1" applyAlignment="1">
      <alignment horizontal="right" wrapText="1"/>
    </xf>
    <xf numFmtId="165" fontId="67" fillId="4" borderId="1" xfId="0" applyNumberFormat="1" applyFont="1" applyFill="1" applyBorder="1" applyAlignment="1"/>
    <xf numFmtId="165" fontId="68" fillId="5" borderId="1" xfId="0" applyNumberFormat="1" applyFont="1" applyFill="1" applyBorder="1" applyAlignment="1"/>
    <xf numFmtId="3" fontId="69" fillId="2" borderId="37" xfId="0" applyNumberFormat="1" applyFont="1" applyFill="1" applyBorder="1"/>
    <xf numFmtId="3" fontId="70" fillId="6" borderId="38" xfId="0" applyNumberFormat="1" applyFont="1" applyFill="1" applyBorder="1"/>
    <xf numFmtId="3" fontId="71" fillId="6" borderId="39" xfId="0" applyNumberFormat="1" applyFont="1" applyFill="1" applyBorder="1" applyAlignment="1">
      <alignment horizontal="right"/>
    </xf>
    <xf numFmtId="0" fontId="72" fillId="6" borderId="40" xfId="0" applyFont="1" applyFill="1" applyBorder="1"/>
    <xf numFmtId="3" fontId="73" fillId="2" borderId="1" xfId="0" applyNumberFormat="1" applyFont="1" applyFill="1" applyBorder="1"/>
    <xf numFmtId="3" fontId="74" fillId="2" borderId="1" xfId="0" applyNumberFormat="1" applyFont="1" applyFill="1" applyBorder="1" applyAlignment="1">
      <alignment horizontal="right"/>
    </xf>
    <xf numFmtId="0" fontId="75" fillId="2" borderId="1" xfId="0" applyFont="1" applyFill="1" applyBorder="1"/>
    <xf numFmtId="49" fontId="76" fillId="2" borderId="1" xfId="0" applyNumberFormat="1" applyFont="1" applyFill="1" applyBorder="1" applyAlignment="1">
      <alignment wrapText="1"/>
    </xf>
    <xf numFmtId="0" fontId="77" fillId="2" borderId="1" xfId="0" applyFont="1" applyFill="1" applyBorder="1"/>
    <xf numFmtId="165" fontId="78" fillId="3" borderId="41" xfId="0" applyNumberFormat="1" applyFont="1" applyFill="1" applyBorder="1"/>
    <xf numFmtId="165" fontId="79" fillId="4" borderId="42" xfId="0" applyNumberFormat="1" applyFont="1" applyFill="1" applyBorder="1"/>
    <xf numFmtId="165" fontId="80" fillId="5" borderId="43" xfId="0" applyNumberFormat="1" applyFont="1" applyFill="1" applyBorder="1"/>
    <xf numFmtId="3" fontId="81" fillId="2" borderId="1" xfId="0" applyNumberFormat="1" applyFont="1" applyFill="1" applyBorder="1"/>
    <xf numFmtId="3" fontId="82" fillId="2" borderId="1" xfId="0" applyNumberFormat="1" applyFont="1" applyFill="1" applyBorder="1" applyAlignment="1">
      <alignment wrapText="1"/>
    </xf>
    <xf numFmtId="3" fontId="83" fillId="2" borderId="1" xfId="0" applyNumberFormat="1" applyFont="1" applyFill="1" applyBorder="1" applyAlignment="1">
      <alignment horizontal="right" wrapText="1"/>
    </xf>
    <xf numFmtId="49" fontId="84" fillId="6" borderId="1" xfId="0" applyNumberFormat="1" applyFont="1" applyFill="1" applyBorder="1"/>
    <xf numFmtId="49" fontId="85" fillId="6" borderId="1" xfId="0" applyNumberFormat="1" applyFont="1" applyFill="1" applyBorder="1" applyAlignment="1"/>
    <xf numFmtId="165" fontId="86" fillId="6" borderId="1" xfId="0" applyNumberFormat="1" applyFont="1" applyFill="1" applyBorder="1"/>
    <xf numFmtId="165" fontId="87" fillId="6" borderId="44" xfId="0" applyNumberFormat="1" applyFont="1" applyFill="1" applyBorder="1"/>
    <xf numFmtId="166" fontId="88" fillId="6" borderId="45" xfId="0" applyNumberFormat="1" applyFont="1" applyFill="1" applyBorder="1"/>
    <xf numFmtId="3" fontId="89" fillId="3" borderId="46" xfId="0" applyNumberFormat="1" applyFont="1" applyFill="1" applyBorder="1" applyAlignment="1"/>
    <xf numFmtId="3" fontId="90" fillId="4" borderId="47" xfId="0" applyNumberFormat="1" applyFont="1" applyFill="1" applyBorder="1" applyAlignment="1"/>
    <xf numFmtId="3" fontId="91" fillId="5" borderId="48" xfId="0" applyNumberFormat="1" applyFont="1" applyFill="1" applyBorder="1" applyAlignment="1">
      <alignment horizontal="right"/>
    </xf>
    <xf numFmtId="0" fontId="92" fillId="6" borderId="49" xfId="0" applyFont="1" applyFill="1" applyBorder="1"/>
    <xf numFmtId="0" fontId="93" fillId="6" borderId="50" xfId="0" applyFont="1" applyFill="1" applyBorder="1"/>
    <xf numFmtId="165" fontId="94" fillId="2" borderId="51" xfId="0" applyNumberFormat="1" applyFont="1" applyFill="1" applyBorder="1" applyAlignment="1"/>
    <xf numFmtId="165" fontId="95" fillId="3" borderId="52" xfId="0" applyNumberFormat="1" applyFont="1" applyFill="1" applyBorder="1" applyAlignment="1"/>
    <xf numFmtId="165" fontId="96" fillId="4" borderId="53" xfId="0" applyNumberFormat="1" applyFont="1" applyFill="1" applyBorder="1" applyAlignment="1"/>
    <xf numFmtId="165" fontId="97" fillId="5" borderId="54" xfId="0" applyNumberFormat="1" applyFont="1" applyFill="1" applyBorder="1" applyAlignment="1"/>
    <xf numFmtId="165" fontId="98" fillId="2" borderId="55" xfId="0" applyNumberFormat="1" applyFont="1" applyFill="1" applyBorder="1"/>
    <xf numFmtId="165" fontId="99" fillId="3" borderId="56" xfId="0" applyNumberFormat="1" applyFont="1" applyFill="1" applyBorder="1"/>
    <xf numFmtId="165" fontId="100" fillId="4" borderId="57" xfId="0" applyNumberFormat="1" applyFont="1" applyFill="1" applyBorder="1"/>
    <xf numFmtId="165" fontId="101" fillId="5" borderId="58" xfId="0" applyNumberFormat="1" applyFont="1" applyFill="1" applyBorder="1"/>
    <xf numFmtId="166" fontId="102" fillId="2" borderId="59" xfId="0" applyNumberFormat="1" applyFont="1" applyFill="1" applyBorder="1"/>
    <xf numFmtId="165" fontId="103" fillId="3" borderId="60" xfId="0" applyNumberFormat="1" applyFont="1" applyFill="1" applyBorder="1" applyAlignment="1"/>
    <xf numFmtId="165" fontId="104" fillId="4" borderId="61" xfId="0" applyNumberFormat="1" applyFont="1" applyFill="1" applyBorder="1" applyAlignment="1"/>
    <xf numFmtId="165" fontId="105" fillId="5" borderId="62" xfId="0" applyNumberFormat="1" applyFont="1" applyFill="1" applyBorder="1" applyAlignment="1"/>
    <xf numFmtId="165" fontId="106" fillId="6" borderId="63" xfId="0" applyNumberFormat="1" applyFont="1" applyFill="1" applyBorder="1"/>
    <xf numFmtId="165" fontId="107" fillId="3" borderId="64" xfId="0" applyNumberFormat="1" applyFont="1" applyFill="1" applyBorder="1"/>
    <xf numFmtId="165" fontId="108" fillId="4" borderId="65" xfId="0" applyNumberFormat="1" applyFont="1" applyFill="1" applyBorder="1"/>
    <xf numFmtId="165" fontId="109" fillId="5" borderId="66" xfId="0" applyNumberFormat="1" applyFont="1" applyFill="1" applyBorder="1"/>
    <xf numFmtId="165" fontId="110" fillId="6" borderId="67" xfId="0" applyNumberFormat="1" applyFont="1" applyFill="1" applyBorder="1"/>
    <xf numFmtId="166" fontId="111" fillId="6" borderId="68" xfId="0" applyNumberFormat="1" applyFont="1" applyFill="1" applyBorder="1"/>
    <xf numFmtId="164" fontId="112" fillId="6" borderId="69" xfId="0" applyNumberFormat="1" applyFont="1" applyFill="1" applyBorder="1"/>
    <xf numFmtId="3" fontId="113" fillId="6" borderId="70" xfId="0" applyNumberFormat="1" applyFont="1" applyFill="1" applyBorder="1"/>
    <xf numFmtId="3" fontId="114" fillId="6" borderId="71" xfId="0" applyNumberFormat="1" applyFont="1" applyFill="1" applyBorder="1"/>
    <xf numFmtId="3" fontId="115" fillId="6" borderId="72" xfId="0" applyNumberFormat="1" applyFont="1" applyFill="1" applyBorder="1" applyAlignment="1">
      <alignment horizontal="right"/>
    </xf>
    <xf numFmtId="165" fontId="116" fillId="6" borderId="73" xfId="0" applyNumberFormat="1" applyFont="1" applyFill="1" applyBorder="1"/>
    <xf numFmtId="165" fontId="117" fillId="3" borderId="74" xfId="0" applyNumberFormat="1" applyFont="1" applyFill="1" applyBorder="1"/>
    <xf numFmtId="165" fontId="118" fillId="4" borderId="75" xfId="0" applyNumberFormat="1" applyFont="1" applyFill="1" applyBorder="1"/>
    <xf numFmtId="165" fontId="119" fillId="5" borderId="76" xfId="0" applyNumberFormat="1" applyFont="1" applyFill="1" applyBorder="1"/>
    <xf numFmtId="165" fontId="120" fillId="6" borderId="77" xfId="0" applyNumberFormat="1" applyFont="1" applyFill="1" applyBorder="1"/>
    <xf numFmtId="164" fontId="121" fillId="6" borderId="78" xfId="0" applyNumberFormat="1" applyFont="1" applyFill="1" applyBorder="1"/>
    <xf numFmtId="3" fontId="122" fillId="6" borderId="79" xfId="0" applyNumberFormat="1" applyFont="1" applyFill="1" applyBorder="1"/>
    <xf numFmtId="3" fontId="123" fillId="6" borderId="80" xfId="0" applyNumberFormat="1" applyFont="1" applyFill="1" applyBorder="1"/>
    <xf numFmtId="3" fontId="124" fillId="6" borderId="81" xfId="0" applyNumberFormat="1" applyFont="1" applyFill="1" applyBorder="1" applyAlignment="1">
      <alignment horizontal="right"/>
    </xf>
    <xf numFmtId="165" fontId="125" fillId="3" borderId="82" xfId="0" applyNumberFormat="1" applyFont="1" applyFill="1" applyBorder="1" applyAlignment="1"/>
    <xf numFmtId="165" fontId="126" fillId="4" borderId="83" xfId="0" applyNumberFormat="1" applyFont="1" applyFill="1" applyBorder="1" applyAlignment="1"/>
    <xf numFmtId="165" fontId="127" fillId="5" borderId="84" xfId="0" applyNumberFormat="1" applyFont="1" applyFill="1" applyBorder="1" applyAlignment="1"/>
    <xf numFmtId="165" fontId="128" fillId="6" borderId="85" xfId="0" applyNumberFormat="1" applyFont="1" applyFill="1" applyBorder="1"/>
    <xf numFmtId="165" fontId="129" fillId="3" borderId="86" xfId="0" applyNumberFormat="1" applyFont="1" applyFill="1" applyBorder="1" applyAlignment="1"/>
    <xf numFmtId="165" fontId="130" fillId="4" borderId="87" xfId="0" applyNumberFormat="1" applyFont="1" applyFill="1" applyBorder="1" applyAlignment="1"/>
    <xf numFmtId="165" fontId="131" fillId="5" borderId="88" xfId="0" applyNumberFormat="1" applyFont="1" applyFill="1" applyBorder="1" applyAlignment="1"/>
    <xf numFmtId="165" fontId="132" fillId="6" borderId="89" xfId="0" applyNumberFormat="1" applyFont="1" applyFill="1" applyBorder="1"/>
    <xf numFmtId="166" fontId="133" fillId="6" borderId="90" xfId="0" applyNumberFormat="1" applyFont="1" applyFill="1" applyBorder="1"/>
    <xf numFmtId="165" fontId="134" fillId="6" borderId="91" xfId="0" applyNumberFormat="1" applyFont="1" applyFill="1" applyBorder="1"/>
    <xf numFmtId="165" fontId="135" fillId="3" borderId="92" xfId="0" applyNumberFormat="1" applyFont="1" applyFill="1" applyBorder="1"/>
    <xf numFmtId="165" fontId="136" fillId="4" borderId="93" xfId="0" applyNumberFormat="1" applyFont="1" applyFill="1" applyBorder="1"/>
    <xf numFmtId="165" fontId="137" fillId="5" borderId="94" xfId="0" applyNumberFormat="1" applyFont="1" applyFill="1" applyBorder="1"/>
    <xf numFmtId="165" fontId="138" fillId="2" borderId="95" xfId="0" applyNumberFormat="1" applyFont="1" applyFill="1" applyBorder="1"/>
    <xf numFmtId="166" fontId="139" fillId="2" borderId="96" xfId="0" applyNumberFormat="1" applyFont="1" applyFill="1" applyBorder="1"/>
    <xf numFmtId="3" fontId="140" fillId="2" borderId="97" xfId="0" applyNumberFormat="1" applyFont="1" applyFill="1" applyBorder="1"/>
    <xf numFmtId="164" fontId="141" fillId="2" borderId="98" xfId="0" applyNumberFormat="1" applyFont="1" applyFill="1" applyBorder="1"/>
    <xf numFmtId="3" fontId="142" fillId="2" borderId="99" xfId="0" applyNumberFormat="1" applyFont="1" applyFill="1" applyBorder="1" applyAlignment="1">
      <alignment wrapText="1"/>
    </xf>
    <xf numFmtId="3" fontId="143" fillId="2" borderId="100" xfId="0" applyNumberFormat="1" applyFont="1" applyFill="1" applyBorder="1" applyAlignment="1">
      <alignment horizontal="right" wrapText="1"/>
    </xf>
    <xf numFmtId="165" fontId="144" fillId="6" borderId="101" xfId="0" applyNumberFormat="1" applyFont="1" applyFill="1" applyBorder="1"/>
    <xf numFmtId="165" fontId="145" fillId="3" borderId="102" xfId="0" applyNumberFormat="1" applyFont="1" applyFill="1" applyBorder="1"/>
    <xf numFmtId="165" fontId="146" fillId="4" borderId="103" xfId="0" applyNumberFormat="1" applyFont="1" applyFill="1" applyBorder="1"/>
    <xf numFmtId="165" fontId="147" fillId="5" borderId="104" xfId="0" applyNumberFormat="1" applyFont="1" applyFill="1" applyBorder="1"/>
    <xf numFmtId="165" fontId="148" fillId="6" borderId="105" xfId="0" applyNumberFormat="1" applyFont="1" applyFill="1" applyBorder="1"/>
    <xf numFmtId="166" fontId="149" fillId="6" borderId="106" xfId="0" applyNumberFormat="1" applyFont="1" applyFill="1" applyBorder="1"/>
    <xf numFmtId="165" fontId="150" fillId="6" borderId="107" xfId="0" applyNumberFormat="1" applyFont="1" applyFill="1" applyBorder="1"/>
    <xf numFmtId="165" fontId="151" fillId="6" borderId="108" xfId="0" applyNumberFormat="1" applyFont="1" applyFill="1" applyBorder="1"/>
    <xf numFmtId="166" fontId="152" fillId="6" borderId="109" xfId="0" applyNumberFormat="1" applyFont="1" applyFill="1" applyBorder="1"/>
    <xf numFmtId="165" fontId="153" fillId="6" borderId="110" xfId="0" applyNumberFormat="1" applyFont="1" applyFill="1" applyBorder="1"/>
    <xf numFmtId="165" fontId="154" fillId="6" borderId="111" xfId="0" applyNumberFormat="1" applyFont="1" applyFill="1" applyBorder="1"/>
    <xf numFmtId="166" fontId="155" fillId="6" borderId="112" xfId="0" applyNumberFormat="1" applyFont="1" applyFill="1" applyBorder="1"/>
    <xf numFmtId="164" fontId="156" fillId="6" borderId="113" xfId="0" applyNumberFormat="1" applyFont="1" applyFill="1" applyBorder="1"/>
    <xf numFmtId="3" fontId="157" fillId="3" borderId="1" xfId="0" applyNumberFormat="1" applyFont="1" applyFill="1" applyBorder="1"/>
    <xf numFmtId="3" fontId="158" fillId="5" borderId="1" xfId="0" applyNumberFormat="1" applyFont="1" applyFill="1" applyBorder="1" applyAlignment="1">
      <alignment horizontal="right" wrapText="1"/>
    </xf>
    <xf numFmtId="165" fontId="159" fillId="6" borderId="114" xfId="0" applyNumberFormat="1" applyFont="1" applyFill="1" applyBorder="1"/>
    <xf numFmtId="165" fontId="160" fillId="3" borderId="115" xfId="0" applyNumberFormat="1" applyFont="1" applyFill="1" applyBorder="1" applyAlignment="1"/>
    <xf numFmtId="165" fontId="161" fillId="4" borderId="116" xfId="0" applyNumberFormat="1" applyFont="1" applyFill="1" applyBorder="1" applyAlignment="1"/>
    <xf numFmtId="165" fontId="162" fillId="5" borderId="117" xfId="0" applyNumberFormat="1" applyFont="1" applyFill="1" applyBorder="1" applyAlignment="1"/>
    <xf numFmtId="165" fontId="163" fillId="6" borderId="118" xfId="0" applyNumberFormat="1" applyFont="1" applyFill="1" applyBorder="1"/>
    <xf numFmtId="166" fontId="164" fillId="6" borderId="119" xfId="0" applyNumberFormat="1" applyFont="1" applyFill="1" applyBorder="1"/>
    <xf numFmtId="165" fontId="165" fillId="6" borderId="120" xfId="0" applyNumberFormat="1" applyFont="1" applyFill="1" applyBorder="1"/>
    <xf numFmtId="165" fontId="166" fillId="3" borderId="121" xfId="0" applyNumberFormat="1" applyFont="1" applyFill="1" applyBorder="1"/>
    <xf numFmtId="165" fontId="167" fillId="4" borderId="122" xfId="0" applyNumberFormat="1" applyFont="1" applyFill="1" applyBorder="1"/>
    <xf numFmtId="165" fontId="168" fillId="5" borderId="123" xfId="0" applyNumberFormat="1" applyFont="1" applyFill="1" applyBorder="1"/>
    <xf numFmtId="165" fontId="169" fillId="6" borderId="124" xfId="0" applyNumberFormat="1" applyFont="1" applyFill="1" applyBorder="1"/>
    <xf numFmtId="166" fontId="170" fillId="6" borderId="125" xfId="0" applyNumberFormat="1" applyFont="1" applyFill="1" applyBorder="1"/>
    <xf numFmtId="166" fontId="171" fillId="6" borderId="1" xfId="0" applyNumberFormat="1" applyFont="1" applyFill="1" applyBorder="1"/>
    <xf numFmtId="164" fontId="172" fillId="6" borderId="126" xfId="0" applyNumberFormat="1" applyFont="1" applyFill="1" applyBorder="1"/>
    <xf numFmtId="164" fontId="173" fillId="6" borderId="127" xfId="0" applyNumberFormat="1" applyFont="1" applyFill="1" applyBorder="1" applyAlignment="1"/>
    <xf numFmtId="164" fontId="174" fillId="2" borderId="128" xfId="0" applyNumberFormat="1" applyFont="1" applyFill="1" applyBorder="1" applyAlignment="1"/>
    <xf numFmtId="165" fontId="175" fillId="6" borderId="129" xfId="0" applyNumberFormat="1" applyFont="1" applyFill="1" applyBorder="1"/>
    <xf numFmtId="165" fontId="176" fillId="3" borderId="130" xfId="0" applyNumberFormat="1" applyFont="1" applyFill="1" applyBorder="1"/>
    <xf numFmtId="165" fontId="177" fillId="4" borderId="131" xfId="0" applyNumberFormat="1" applyFont="1" applyFill="1" applyBorder="1"/>
    <xf numFmtId="165" fontId="178" fillId="5" borderId="132" xfId="0" applyNumberFormat="1" applyFont="1" applyFill="1" applyBorder="1"/>
    <xf numFmtId="165" fontId="179" fillId="6" borderId="133" xfId="0" applyNumberFormat="1" applyFont="1" applyFill="1" applyBorder="1"/>
    <xf numFmtId="166" fontId="180" fillId="6" borderId="134" xfId="0" applyNumberFormat="1" applyFont="1" applyFill="1" applyBorder="1"/>
    <xf numFmtId="3" fontId="181" fillId="3" borderId="135" xfId="0" applyNumberFormat="1" applyFont="1" applyFill="1" applyBorder="1"/>
    <xf numFmtId="165" fontId="182" fillId="6" borderId="136" xfId="0" applyNumberFormat="1" applyFont="1" applyFill="1" applyBorder="1"/>
    <xf numFmtId="165" fontId="183" fillId="3" borderId="137" xfId="0" applyNumberFormat="1" applyFont="1" applyFill="1" applyBorder="1" applyAlignment="1"/>
    <xf numFmtId="165" fontId="184" fillId="4" borderId="138" xfId="0" applyNumberFormat="1" applyFont="1" applyFill="1" applyBorder="1" applyAlignment="1"/>
    <xf numFmtId="165" fontId="185" fillId="5" borderId="139" xfId="0" applyNumberFormat="1" applyFont="1" applyFill="1" applyBorder="1" applyAlignment="1"/>
    <xf numFmtId="165" fontId="186" fillId="6" borderId="140" xfId="0" applyNumberFormat="1" applyFont="1" applyFill="1" applyBorder="1"/>
    <xf numFmtId="166" fontId="187" fillId="6" borderId="141" xfId="0" applyNumberFormat="1" applyFont="1" applyFill="1" applyBorder="1"/>
    <xf numFmtId="165" fontId="188" fillId="6" borderId="142" xfId="0" applyNumberFormat="1" applyFont="1" applyFill="1" applyBorder="1"/>
    <xf numFmtId="166" fontId="189" fillId="6" borderId="143" xfId="0" applyNumberFormat="1" applyFont="1" applyFill="1" applyBorder="1"/>
    <xf numFmtId="3" fontId="190" fillId="6" borderId="144" xfId="0" applyNumberFormat="1" applyFont="1" applyFill="1" applyBorder="1" applyAlignment="1">
      <alignment horizontal="right"/>
    </xf>
    <xf numFmtId="3" fontId="191" fillId="6" borderId="145" xfId="0" applyNumberFormat="1" applyFont="1" applyFill="1" applyBorder="1" applyAlignment="1">
      <alignment horizontal="right"/>
    </xf>
    <xf numFmtId="165" fontId="192" fillId="6" borderId="146" xfId="0" applyNumberFormat="1" applyFont="1" applyFill="1" applyBorder="1"/>
    <xf numFmtId="165" fontId="193" fillId="3" borderId="147" xfId="0" applyNumberFormat="1" applyFont="1" applyFill="1" applyBorder="1"/>
    <xf numFmtId="165" fontId="194" fillId="4" borderId="148" xfId="0" applyNumberFormat="1" applyFont="1" applyFill="1" applyBorder="1"/>
    <xf numFmtId="165" fontId="195" fillId="5" borderId="149" xfId="0" applyNumberFormat="1" applyFont="1" applyFill="1" applyBorder="1"/>
    <xf numFmtId="165" fontId="196" fillId="6" borderId="150" xfId="0" applyNumberFormat="1" applyFont="1" applyFill="1" applyBorder="1"/>
    <xf numFmtId="166" fontId="197" fillId="6" borderId="151" xfId="0" applyNumberFormat="1" applyFont="1" applyFill="1" applyBorder="1"/>
    <xf numFmtId="165" fontId="198" fillId="6" borderId="152" xfId="0" applyNumberFormat="1" applyFont="1" applyFill="1" applyBorder="1"/>
    <xf numFmtId="165" fontId="199" fillId="3" borderId="153" xfId="0" applyNumberFormat="1" applyFont="1" applyFill="1" applyBorder="1"/>
    <xf numFmtId="165" fontId="200" fillId="4" borderId="154" xfId="0" applyNumberFormat="1" applyFont="1" applyFill="1" applyBorder="1"/>
    <xf numFmtId="165" fontId="201" fillId="5" borderId="155" xfId="0" applyNumberFormat="1" applyFont="1" applyFill="1" applyBorder="1"/>
    <xf numFmtId="165" fontId="202" fillId="6" borderId="156" xfId="0" applyNumberFormat="1" applyFont="1" applyFill="1" applyBorder="1"/>
    <xf numFmtId="166" fontId="203" fillId="6" borderId="157" xfId="0" applyNumberFormat="1" applyFont="1" applyFill="1" applyBorder="1"/>
    <xf numFmtId="165" fontId="204" fillId="6" borderId="1" xfId="0" applyNumberFormat="1" applyFont="1" applyFill="1" applyBorder="1"/>
    <xf numFmtId="165" fontId="205" fillId="3" borderId="1" xfId="0" applyNumberFormat="1" applyFont="1" applyFill="1" applyBorder="1"/>
    <xf numFmtId="165" fontId="206" fillId="4" borderId="1" xfId="0" applyNumberFormat="1" applyFont="1" applyFill="1" applyBorder="1"/>
    <xf numFmtId="165" fontId="207" fillId="5" borderId="1" xfId="0" applyNumberFormat="1" applyFont="1" applyFill="1" applyBorder="1"/>
    <xf numFmtId="166" fontId="208" fillId="6" borderId="1" xfId="0" applyNumberFormat="1" applyFont="1" applyFill="1" applyBorder="1"/>
    <xf numFmtId="164" fontId="209" fillId="6" borderId="158" xfId="0" applyNumberFormat="1" applyFont="1" applyFill="1" applyBorder="1"/>
    <xf numFmtId="3" fontId="210" fillId="6" borderId="159" xfId="0" applyNumberFormat="1" applyFont="1" applyFill="1" applyBorder="1"/>
    <xf numFmtId="0" fontId="211" fillId="2" borderId="1" xfId="0" applyFont="1" applyFill="1" applyBorder="1"/>
    <xf numFmtId="0" fontId="212" fillId="6" borderId="1" xfId="0" applyFont="1" applyFill="1" applyBorder="1"/>
    <xf numFmtId="0" fontId="213" fillId="6" borderId="160" xfId="0" applyFont="1" applyFill="1" applyBorder="1"/>
    <xf numFmtId="0" fontId="214" fillId="3" borderId="161" xfId="0" applyFont="1" applyFill="1" applyBorder="1"/>
    <xf numFmtId="0" fontId="215" fillId="4" borderId="162" xfId="0" applyFont="1" applyFill="1" applyBorder="1"/>
    <xf numFmtId="0" fontId="216" fillId="5" borderId="163" xfId="0" applyFont="1" applyFill="1" applyBorder="1"/>
    <xf numFmtId="0" fontId="217" fillId="6" borderId="164" xfId="0" applyFont="1" applyFill="1" applyBorder="1"/>
    <xf numFmtId="0" fontId="218" fillId="6" borderId="165" xfId="0" applyFont="1" applyFill="1" applyBorder="1"/>
    <xf numFmtId="0" fontId="219" fillId="6" borderId="1" xfId="0" applyFont="1" applyFill="1" applyBorder="1"/>
    <xf numFmtId="0" fontId="220" fillId="3" borderId="1" xfId="0" applyFont="1" applyFill="1" applyBorder="1"/>
    <xf numFmtId="0" fontId="221" fillId="4" borderId="1" xfId="0" applyFont="1" applyFill="1" applyBorder="1"/>
    <xf numFmtId="0" fontId="222" fillId="5" borderId="1" xfId="0" applyFont="1" applyFill="1" applyBorder="1"/>
    <xf numFmtId="4" fontId="223" fillId="3" borderId="1" xfId="0" applyNumberFormat="1" applyFont="1" applyFill="1" applyBorder="1"/>
    <xf numFmtId="49" fontId="16" fillId="2" borderId="10" xfId="0" applyNumberFormat="1" applyFont="1" applyFill="1" applyBorder="1" applyAlignment="1">
      <alignment horizontal="center"/>
    </xf>
    <xf numFmtId="0" fontId="0" fillId="0" borderId="0" xfId="0"/>
    <xf numFmtId="49" fontId="85" fillId="6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4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baseColWidth="10" defaultColWidth="17.33203125" defaultRowHeight="15.75" customHeight="1" x14ac:dyDescent="0"/>
  <cols>
    <col min="1" max="4" width="3" customWidth="1"/>
    <col min="5" max="5" width="38.83203125" customWidth="1"/>
    <col min="6" max="6" width="17" customWidth="1"/>
    <col min="7" max="7" width="9" customWidth="1"/>
    <col min="8" max="9" width="8.6640625" customWidth="1"/>
    <col min="10" max="10" width="12" customWidth="1"/>
    <col min="11" max="11" width="10.33203125" customWidth="1"/>
    <col min="12" max="12" width="10.1640625" customWidth="1"/>
    <col min="13" max="13" width="9.6640625" customWidth="1"/>
    <col min="14" max="15" width="8.83203125" customWidth="1"/>
    <col min="16" max="16" width="15.33203125" customWidth="1"/>
    <col min="17" max="17" width="10" customWidth="1"/>
  </cols>
  <sheetData>
    <row r="1" spans="1:17" ht="15.75" customHeight="1">
      <c r="A1" s="1"/>
      <c r="B1" s="1"/>
      <c r="C1" s="1"/>
      <c r="D1" s="1"/>
      <c r="E1" s="1"/>
      <c r="F1" s="2" t="s">
        <v>0</v>
      </c>
      <c r="G1" s="3" t="s">
        <v>1</v>
      </c>
      <c r="H1" s="4">
        <v>1200</v>
      </c>
      <c r="I1" s="5">
        <v>1500</v>
      </c>
      <c r="J1" s="6"/>
      <c r="K1" s="2"/>
      <c r="L1" s="7"/>
      <c r="M1" s="8"/>
      <c r="N1" s="9"/>
      <c r="O1" s="9"/>
      <c r="P1" s="10"/>
      <c r="Q1" s="10"/>
    </row>
    <row r="2" spans="1:17" ht="16.5" customHeight="1">
      <c r="A2" s="11"/>
      <c r="B2" s="11"/>
      <c r="C2" s="11"/>
      <c r="D2" s="11"/>
      <c r="E2" s="11"/>
      <c r="F2" s="8"/>
      <c r="G2" s="12" t="s">
        <v>2</v>
      </c>
      <c r="H2" s="13" t="s">
        <v>3</v>
      </c>
      <c r="I2" s="14" t="s">
        <v>4</v>
      </c>
      <c r="J2" s="8" t="s">
        <v>5</v>
      </c>
      <c r="K2" s="8" t="s">
        <v>6</v>
      </c>
      <c r="L2" s="15" t="s">
        <v>7</v>
      </c>
      <c r="M2" s="223" t="s">
        <v>8</v>
      </c>
      <c r="N2" s="224"/>
      <c r="O2" s="224"/>
      <c r="P2" s="16"/>
      <c r="Q2" s="16"/>
    </row>
    <row r="3" spans="1:17" ht="15.75" customHeight="1">
      <c r="A3" s="17" t="s">
        <v>9</v>
      </c>
      <c r="B3" s="1"/>
      <c r="C3" s="17"/>
      <c r="D3" s="1"/>
      <c r="E3" s="1"/>
      <c r="F3" s="18"/>
      <c r="G3" s="19"/>
      <c r="H3" s="20"/>
      <c r="I3" s="21"/>
      <c r="J3" s="18"/>
      <c r="K3" s="22"/>
      <c r="L3" s="23"/>
      <c r="M3" s="24">
        <v>900</v>
      </c>
      <c r="N3" s="25">
        <v>1200</v>
      </c>
      <c r="O3" s="26">
        <v>1500</v>
      </c>
      <c r="P3" s="27"/>
      <c r="Q3" s="27"/>
    </row>
    <row r="4" spans="1:17" ht="15" customHeight="1">
      <c r="A4" s="1"/>
      <c r="B4" s="1"/>
      <c r="C4" s="1"/>
      <c r="D4" s="1" t="s">
        <v>10</v>
      </c>
      <c r="E4" s="1"/>
      <c r="F4" s="28"/>
      <c r="G4" s="29"/>
      <c r="H4" s="30"/>
      <c r="I4" s="31"/>
      <c r="J4" s="28"/>
      <c r="K4" s="32"/>
      <c r="L4" s="33"/>
      <c r="M4" s="34"/>
      <c r="N4" s="25"/>
      <c r="O4" s="35"/>
      <c r="P4" s="10"/>
      <c r="Q4" s="10"/>
    </row>
    <row r="5" spans="1:17" ht="15" customHeight="1">
      <c r="A5" s="1"/>
      <c r="B5" s="1"/>
      <c r="C5" s="1"/>
      <c r="D5" s="1"/>
      <c r="E5" s="1" t="s">
        <v>11</v>
      </c>
      <c r="F5" s="36"/>
      <c r="G5" s="29">
        <f t="shared" ref="G5:G16" si="0">L5*M5</f>
        <v>223725</v>
      </c>
      <c r="H5" s="30">
        <f t="shared" ref="H5:H19" si="1">L5*N5</f>
        <v>313025</v>
      </c>
      <c r="I5" s="31">
        <f t="shared" ref="I5:I19" si="2">L5*O5</f>
        <v>402325</v>
      </c>
      <c r="J5" s="28">
        <f>ROUND((F5-G5),5)</f>
        <v>-223725</v>
      </c>
      <c r="K5" s="32">
        <f>ROUND(IF(G5=0, IF(F5=0, 0, 1), F5/G5),5)</f>
        <v>0</v>
      </c>
      <c r="L5" s="37">
        <v>475</v>
      </c>
      <c r="M5" s="38">
        <v>471</v>
      </c>
      <c r="N5" s="39">
        <v>659</v>
      </c>
      <c r="O5" s="40">
        <v>847</v>
      </c>
    </row>
    <row r="6" spans="1:17" ht="15" customHeight="1">
      <c r="A6" s="1"/>
      <c r="B6" s="1"/>
      <c r="C6" s="1"/>
      <c r="D6" s="1"/>
      <c r="E6" s="1" t="s">
        <v>12</v>
      </c>
      <c r="G6" s="29">
        <f t="shared" si="0"/>
        <v>50000</v>
      </c>
      <c r="H6" s="30">
        <f t="shared" si="1"/>
        <v>67500</v>
      </c>
      <c r="I6" s="31">
        <f t="shared" si="2"/>
        <v>84375</v>
      </c>
      <c r="J6" s="28">
        <f>ROUND((F5-G6),5)</f>
        <v>-50000</v>
      </c>
      <c r="K6" s="32">
        <f>ROUND(IF(G6=0, IF(F5=0, 0, 1), F5/G6),5)</f>
        <v>0</v>
      </c>
      <c r="L6" s="41">
        <v>500</v>
      </c>
      <c r="M6" s="42">
        <v>100</v>
      </c>
      <c r="N6" s="39">
        <v>135</v>
      </c>
      <c r="O6" s="40">
        <f t="shared" ref="O6:O17" si="3">N6*1.25</f>
        <v>168.75</v>
      </c>
    </row>
    <row r="7" spans="1:17" ht="15" customHeight="1">
      <c r="A7" s="1"/>
      <c r="B7" s="1"/>
      <c r="C7" s="1"/>
      <c r="D7" s="1"/>
      <c r="E7" s="1" t="s">
        <v>13</v>
      </c>
      <c r="F7" s="28"/>
      <c r="G7" s="29">
        <f t="shared" si="0"/>
        <v>30000</v>
      </c>
      <c r="H7" s="30">
        <f t="shared" si="1"/>
        <v>39000</v>
      </c>
      <c r="I7" s="31">
        <f t="shared" si="2"/>
        <v>48750</v>
      </c>
      <c r="J7" s="28">
        <f t="shared" ref="J7:J20" si="4">ROUND((F7-G7),5)</f>
        <v>-30000</v>
      </c>
      <c r="K7" s="32">
        <f t="shared" ref="K7:K20" si="5">ROUND(IF(G7=0, IF(F7=0, 0, 1), F7/G7),5)</f>
        <v>0</v>
      </c>
      <c r="L7" s="41">
        <v>600</v>
      </c>
      <c r="M7" s="42">
        <v>50</v>
      </c>
      <c r="N7" s="39">
        <v>65</v>
      </c>
      <c r="O7" s="40">
        <f t="shared" si="3"/>
        <v>81.25</v>
      </c>
    </row>
    <row r="8" spans="1:17" ht="15" customHeight="1">
      <c r="A8" s="1"/>
      <c r="B8" s="1"/>
      <c r="C8" s="1"/>
      <c r="D8" s="1"/>
      <c r="E8" s="1" t="s">
        <v>14</v>
      </c>
      <c r="F8" s="28"/>
      <c r="G8" s="29">
        <f t="shared" si="0"/>
        <v>11000</v>
      </c>
      <c r="H8" s="30">
        <f t="shared" si="1"/>
        <v>13750</v>
      </c>
      <c r="I8" s="31">
        <f t="shared" si="2"/>
        <v>17187.5</v>
      </c>
      <c r="J8" s="28">
        <f t="shared" si="4"/>
        <v>-11000</v>
      </c>
      <c r="K8" s="32">
        <f t="shared" si="5"/>
        <v>0</v>
      </c>
      <c r="L8" s="41">
        <v>550</v>
      </c>
      <c r="M8" s="42">
        <v>20</v>
      </c>
      <c r="N8" s="39">
        <v>25</v>
      </c>
      <c r="O8" s="40">
        <f t="shared" si="3"/>
        <v>31.25</v>
      </c>
    </row>
    <row r="9" spans="1:17" ht="15" customHeight="1">
      <c r="A9" s="1"/>
      <c r="B9" s="1"/>
      <c r="C9" s="1"/>
      <c r="D9" s="1"/>
      <c r="E9" s="1" t="s">
        <v>15</v>
      </c>
      <c r="F9" s="28"/>
      <c r="G9" s="29">
        <f t="shared" si="0"/>
        <v>9000</v>
      </c>
      <c r="H9" s="30">
        <f t="shared" si="1"/>
        <v>11970.000000000002</v>
      </c>
      <c r="I9" s="31">
        <f t="shared" si="2"/>
        <v>14962.500000000002</v>
      </c>
      <c r="J9" s="28">
        <f t="shared" si="4"/>
        <v>-9000</v>
      </c>
      <c r="K9" s="32">
        <f t="shared" si="5"/>
        <v>0</v>
      </c>
      <c r="L9" s="41">
        <v>600</v>
      </c>
      <c r="M9" s="42">
        <v>15</v>
      </c>
      <c r="N9" s="43">
        <f>M9*1.33</f>
        <v>19.950000000000003</v>
      </c>
      <c r="O9" s="40">
        <f t="shared" si="3"/>
        <v>24.937500000000004</v>
      </c>
    </row>
    <row r="10" spans="1:17" ht="15" customHeight="1">
      <c r="A10" s="1"/>
      <c r="B10" s="1"/>
      <c r="C10" s="1"/>
      <c r="D10" s="1"/>
      <c r="E10" s="1" t="s">
        <v>16</v>
      </c>
      <c r="F10" s="28"/>
      <c r="G10" s="29">
        <f t="shared" si="0"/>
        <v>9375</v>
      </c>
      <c r="H10" s="30">
        <f t="shared" si="1"/>
        <v>12468.750000000002</v>
      </c>
      <c r="I10" s="31">
        <f t="shared" si="2"/>
        <v>15585.937500000002</v>
      </c>
      <c r="J10" s="28">
        <f t="shared" si="4"/>
        <v>-9375</v>
      </c>
      <c r="K10" s="32">
        <f t="shared" si="5"/>
        <v>0</v>
      </c>
      <c r="L10" s="41">
        <v>625</v>
      </c>
      <c r="M10" s="42">
        <v>15</v>
      </c>
      <c r="N10" s="43">
        <f>M10*1.33</f>
        <v>19.950000000000003</v>
      </c>
      <c r="O10" s="40">
        <f t="shared" si="3"/>
        <v>24.937500000000004</v>
      </c>
    </row>
    <row r="11" spans="1:17" ht="15" customHeight="1">
      <c r="A11" s="1"/>
      <c r="B11" s="1"/>
      <c r="C11" s="1"/>
      <c r="D11" s="1"/>
      <c r="E11" s="1" t="s">
        <v>17</v>
      </c>
      <c r="F11" s="28"/>
      <c r="G11" s="29">
        <f t="shared" si="0"/>
        <v>15000</v>
      </c>
      <c r="H11" s="30">
        <f t="shared" si="1"/>
        <v>19500</v>
      </c>
      <c r="I11" s="31">
        <f t="shared" si="2"/>
        <v>24375</v>
      </c>
      <c r="J11" s="28">
        <f t="shared" si="4"/>
        <v>-15000</v>
      </c>
      <c r="K11" s="32">
        <f t="shared" si="5"/>
        <v>0</v>
      </c>
      <c r="L11" s="41">
        <v>300</v>
      </c>
      <c r="M11" s="42">
        <v>50</v>
      </c>
      <c r="N11" s="39">
        <v>65</v>
      </c>
      <c r="O11" s="40">
        <f t="shared" si="3"/>
        <v>81.25</v>
      </c>
    </row>
    <row r="12" spans="1:17" ht="15" customHeight="1">
      <c r="A12" s="1"/>
      <c r="B12" s="1"/>
      <c r="C12" s="1"/>
      <c r="D12" s="1"/>
      <c r="E12" s="1" t="s">
        <v>18</v>
      </c>
      <c r="F12" s="28"/>
      <c r="G12" s="29">
        <f t="shared" si="0"/>
        <v>5625</v>
      </c>
      <c r="H12" s="30">
        <f t="shared" si="1"/>
        <v>7481.2500000000009</v>
      </c>
      <c r="I12" s="31">
        <f t="shared" si="2"/>
        <v>9351.5625000000018</v>
      </c>
      <c r="J12" s="28">
        <f t="shared" si="4"/>
        <v>-5625</v>
      </c>
      <c r="K12" s="32">
        <f t="shared" si="5"/>
        <v>0</v>
      </c>
      <c r="L12" s="41">
        <v>375</v>
      </c>
      <c r="M12" s="42">
        <v>15</v>
      </c>
      <c r="N12" s="43">
        <f>M12*1.33</f>
        <v>19.950000000000003</v>
      </c>
      <c r="O12" s="40">
        <f t="shared" si="3"/>
        <v>24.937500000000004</v>
      </c>
    </row>
    <row r="13" spans="1:17" ht="15" customHeight="1">
      <c r="A13" s="1"/>
      <c r="B13" s="1"/>
      <c r="C13" s="1"/>
      <c r="D13" s="1"/>
      <c r="E13" s="1" t="s">
        <v>19</v>
      </c>
      <c r="F13" s="28"/>
      <c r="G13" s="29">
        <f t="shared" si="0"/>
        <v>4500</v>
      </c>
      <c r="H13" s="30">
        <f t="shared" si="1"/>
        <v>5985.0000000000009</v>
      </c>
      <c r="I13" s="31">
        <f t="shared" si="2"/>
        <v>7481.2500000000009</v>
      </c>
      <c r="J13" s="28">
        <f t="shared" si="4"/>
        <v>-4500</v>
      </c>
      <c r="K13" s="32">
        <f t="shared" si="5"/>
        <v>0</v>
      </c>
      <c r="L13" s="41">
        <v>150</v>
      </c>
      <c r="M13" s="42">
        <v>30</v>
      </c>
      <c r="N13" s="43">
        <f>M13*1.33</f>
        <v>39.900000000000006</v>
      </c>
      <c r="O13" s="40">
        <f t="shared" si="3"/>
        <v>49.875000000000007</v>
      </c>
    </row>
    <row r="14" spans="1:17" ht="15" customHeight="1">
      <c r="A14" s="1"/>
      <c r="B14" s="1"/>
      <c r="C14" s="1"/>
      <c r="D14" s="1"/>
      <c r="E14" s="1" t="s">
        <v>20</v>
      </c>
      <c r="F14" s="28"/>
      <c r="G14" s="29">
        <f t="shared" si="0"/>
        <v>750</v>
      </c>
      <c r="H14" s="30">
        <f t="shared" si="1"/>
        <v>997.50000000000011</v>
      </c>
      <c r="I14" s="31">
        <f t="shared" si="2"/>
        <v>1246.8750000000002</v>
      </c>
      <c r="J14" s="28">
        <f t="shared" si="4"/>
        <v>-750</v>
      </c>
      <c r="K14" s="32">
        <f t="shared" si="5"/>
        <v>0</v>
      </c>
      <c r="L14" s="41">
        <v>50</v>
      </c>
      <c r="M14" s="42">
        <v>15</v>
      </c>
      <c r="N14" s="43">
        <f>M14*1.33</f>
        <v>19.950000000000003</v>
      </c>
      <c r="O14" s="40">
        <f t="shared" si="3"/>
        <v>24.937500000000004</v>
      </c>
    </row>
    <row r="15" spans="1:17" ht="15" customHeight="1">
      <c r="A15" s="1"/>
      <c r="B15" s="1"/>
      <c r="C15" s="1"/>
      <c r="D15" s="1"/>
      <c r="E15" s="1" t="s">
        <v>21</v>
      </c>
      <c r="F15" s="28"/>
      <c r="G15" s="29">
        <f t="shared" si="0"/>
        <v>5250</v>
      </c>
      <c r="H15" s="30">
        <f t="shared" si="1"/>
        <v>6982.5000000000009</v>
      </c>
      <c r="I15" s="31">
        <f t="shared" si="2"/>
        <v>8728.1250000000018</v>
      </c>
      <c r="J15" s="28">
        <f t="shared" si="4"/>
        <v>-5250</v>
      </c>
      <c r="K15" s="32">
        <f t="shared" si="5"/>
        <v>0</v>
      </c>
      <c r="L15" s="41">
        <v>350</v>
      </c>
      <c r="M15" s="42">
        <v>15</v>
      </c>
      <c r="N15" s="43">
        <f>M15*1.33</f>
        <v>19.950000000000003</v>
      </c>
      <c r="O15" s="40">
        <f t="shared" si="3"/>
        <v>24.937500000000004</v>
      </c>
    </row>
    <row r="16" spans="1:17" ht="15" customHeight="1">
      <c r="A16" s="1"/>
      <c r="B16" s="1"/>
      <c r="C16" s="1"/>
      <c r="D16" s="1"/>
      <c r="E16" s="1" t="s">
        <v>22</v>
      </c>
      <c r="F16" s="28"/>
      <c r="G16" s="29">
        <f t="shared" si="0"/>
        <v>2500</v>
      </c>
      <c r="H16" s="30">
        <f t="shared" si="1"/>
        <v>3750</v>
      </c>
      <c r="I16" s="31">
        <f t="shared" si="2"/>
        <v>4687.5</v>
      </c>
      <c r="J16" s="28">
        <f t="shared" si="4"/>
        <v>-2500</v>
      </c>
      <c r="K16" s="32">
        <f t="shared" si="5"/>
        <v>0</v>
      </c>
      <c r="L16" s="41">
        <v>250</v>
      </c>
      <c r="M16" s="42">
        <v>10</v>
      </c>
      <c r="N16" s="39">
        <v>15</v>
      </c>
      <c r="O16" s="40">
        <f t="shared" si="3"/>
        <v>18.75</v>
      </c>
    </row>
    <row r="17" spans="1:17" ht="15" customHeight="1">
      <c r="A17" s="1"/>
      <c r="B17" s="1"/>
      <c r="C17" s="1"/>
      <c r="D17" s="1"/>
      <c r="E17" s="1" t="s">
        <v>23</v>
      </c>
      <c r="F17" s="28"/>
      <c r="G17" s="44">
        <f>M17*$L17</f>
        <v>1000</v>
      </c>
      <c r="H17" s="30">
        <f t="shared" si="1"/>
        <v>1500</v>
      </c>
      <c r="I17" s="31">
        <f t="shared" si="2"/>
        <v>1875</v>
      </c>
      <c r="J17" s="28">
        <f t="shared" si="4"/>
        <v>-1000</v>
      </c>
      <c r="K17" s="32">
        <f t="shared" si="5"/>
        <v>0</v>
      </c>
      <c r="L17" s="41">
        <v>250</v>
      </c>
      <c r="M17" s="42">
        <v>4</v>
      </c>
      <c r="N17" s="39">
        <v>6</v>
      </c>
      <c r="O17" s="40">
        <f t="shared" si="3"/>
        <v>7.5</v>
      </c>
    </row>
    <row r="18" spans="1:17" ht="15" customHeight="1">
      <c r="A18" s="1"/>
      <c r="B18" s="1"/>
      <c r="C18" s="1"/>
      <c r="D18" s="1"/>
      <c r="E18" s="17" t="s">
        <v>24</v>
      </c>
      <c r="F18" s="28"/>
      <c r="G18" s="29">
        <f>L18*M18</f>
        <v>30000</v>
      </c>
      <c r="H18" s="30">
        <f t="shared" si="1"/>
        <v>30000</v>
      </c>
      <c r="I18" s="31">
        <f t="shared" si="2"/>
        <v>30000</v>
      </c>
      <c r="J18" s="28">
        <f t="shared" si="4"/>
        <v>-30000</v>
      </c>
      <c r="K18" s="32">
        <f t="shared" si="5"/>
        <v>0</v>
      </c>
      <c r="L18" s="41">
        <v>400</v>
      </c>
      <c r="M18" s="42">
        <v>75</v>
      </c>
      <c r="N18" s="39">
        <v>75</v>
      </c>
      <c r="O18" s="40">
        <v>75</v>
      </c>
      <c r="P18" s="10"/>
      <c r="Q18" s="10"/>
    </row>
    <row r="19" spans="1:17" ht="15" customHeight="1">
      <c r="A19" s="1"/>
      <c r="B19" s="1"/>
      <c r="C19" s="1"/>
      <c r="D19" s="1"/>
      <c r="E19" s="17" t="s">
        <v>25</v>
      </c>
      <c r="F19" s="45"/>
      <c r="G19" s="46">
        <f>L19*M19</f>
        <v>6000</v>
      </c>
      <c r="H19" s="47">
        <f t="shared" si="1"/>
        <v>6000</v>
      </c>
      <c r="I19" s="48">
        <f t="shared" si="2"/>
        <v>6000</v>
      </c>
      <c r="J19" s="45">
        <f t="shared" si="4"/>
        <v>-6000</v>
      </c>
      <c r="K19" s="49">
        <f t="shared" si="5"/>
        <v>0</v>
      </c>
      <c r="L19" s="50">
        <v>400</v>
      </c>
      <c r="M19" s="51">
        <v>15</v>
      </c>
      <c r="N19" s="52">
        <v>15</v>
      </c>
      <c r="O19" s="53">
        <v>15</v>
      </c>
    </row>
    <row r="20" spans="1:17" ht="15" customHeight="1">
      <c r="A20" s="1"/>
      <c r="B20" s="1"/>
      <c r="C20" s="1"/>
      <c r="D20" s="1" t="s">
        <v>26</v>
      </c>
      <c r="E20" s="1"/>
      <c r="F20" s="18">
        <f>SUM(F5:F19)</f>
        <v>0</v>
      </c>
      <c r="G20" s="54">
        <f>ROUND(SUM(G4:G19),5)</f>
        <v>403725</v>
      </c>
      <c r="H20" s="55">
        <f>ROUND(SUM(H4:H19),5)</f>
        <v>539910</v>
      </c>
      <c r="I20" s="56">
        <f>ROUND(SUM(I4:I19),5)</f>
        <v>676931.25</v>
      </c>
      <c r="J20" s="18">
        <f t="shared" si="4"/>
        <v>-403725</v>
      </c>
      <c r="K20" s="22">
        <f t="shared" si="5"/>
        <v>0</v>
      </c>
      <c r="L20" s="23"/>
      <c r="M20" s="57">
        <f>SUM(M5:M19)</f>
        <v>900</v>
      </c>
      <c r="N20" s="58">
        <f>SUM(N5:N19)</f>
        <v>1199.6500000000003</v>
      </c>
      <c r="O20" s="59">
        <f>SUM(O5:O19)</f>
        <v>1500.3125</v>
      </c>
      <c r="P20" s="60"/>
      <c r="Q20" s="27"/>
    </row>
    <row r="21" spans="1:17" ht="30" customHeight="1">
      <c r="A21" s="1"/>
      <c r="B21" s="1"/>
      <c r="C21" s="1"/>
      <c r="D21" s="1" t="s">
        <v>27</v>
      </c>
      <c r="E21" s="1"/>
      <c r="F21" s="28"/>
      <c r="G21" s="61"/>
      <c r="H21" s="62"/>
      <c r="I21" s="63"/>
      <c r="J21" s="28"/>
      <c r="K21" s="32"/>
      <c r="L21" s="7"/>
      <c r="M21" s="9"/>
      <c r="N21" s="64"/>
      <c r="O21" s="65"/>
      <c r="P21" s="10"/>
      <c r="Q21" s="10"/>
    </row>
    <row r="22" spans="1:17" ht="15" customHeight="1">
      <c r="A22" s="1"/>
      <c r="B22" s="1"/>
      <c r="C22" s="1"/>
      <c r="D22" s="1"/>
      <c r="E22" s="17" t="s">
        <v>28</v>
      </c>
      <c r="F22" s="28"/>
      <c r="G22" s="44">
        <f>6000*2</f>
        <v>12000</v>
      </c>
      <c r="H22" s="66">
        <f>6000*2</f>
        <v>12000</v>
      </c>
      <c r="I22" s="67">
        <f>6000*2</f>
        <v>12000</v>
      </c>
      <c r="J22" s="28">
        <f t="shared" ref="J22:J45" si="6">ROUND((F22-G22),5)</f>
        <v>-12000</v>
      </c>
      <c r="K22" s="32">
        <f t="shared" ref="K22:K45" si="7">ROUND(IF(G22=0, IF(F22=0, 0, 1), F22/G22),5)</f>
        <v>0</v>
      </c>
      <c r="L22" s="41" t="s">
        <v>29</v>
      </c>
      <c r="M22" s="9"/>
      <c r="N22" s="64"/>
      <c r="O22" s="65"/>
      <c r="P22" s="10"/>
      <c r="Q22" s="10"/>
    </row>
    <row r="23" spans="1:17" ht="15" customHeight="1">
      <c r="A23" s="1"/>
      <c r="B23" s="1"/>
      <c r="C23" s="1"/>
      <c r="D23" s="1"/>
      <c r="E23" s="17" t="s">
        <v>30</v>
      </c>
      <c r="F23" s="28"/>
      <c r="G23" s="44">
        <v>6000</v>
      </c>
      <c r="H23" s="66">
        <v>6000</v>
      </c>
      <c r="I23" s="67">
        <v>6000</v>
      </c>
      <c r="J23" s="28">
        <f t="shared" si="6"/>
        <v>-6000</v>
      </c>
      <c r="K23" s="32">
        <f t="shared" si="7"/>
        <v>0</v>
      </c>
      <c r="L23" s="41" t="s">
        <v>31</v>
      </c>
      <c r="M23" s="9"/>
      <c r="N23" s="64"/>
      <c r="O23" s="65"/>
      <c r="P23" s="10"/>
      <c r="Q23" s="10"/>
    </row>
    <row r="24" spans="1:17" ht="15" customHeight="1">
      <c r="A24" s="1"/>
      <c r="B24" s="1"/>
      <c r="C24" s="1"/>
      <c r="D24" s="1"/>
      <c r="E24" s="17" t="s">
        <v>32</v>
      </c>
      <c r="F24" s="28"/>
      <c r="G24" s="44">
        <v>6000</v>
      </c>
      <c r="H24" s="66">
        <v>6000</v>
      </c>
      <c r="I24" s="67">
        <v>6000</v>
      </c>
      <c r="J24" s="28">
        <f t="shared" si="6"/>
        <v>-6000</v>
      </c>
      <c r="K24" s="32">
        <f t="shared" si="7"/>
        <v>0</v>
      </c>
      <c r="L24" s="41" t="s">
        <v>33</v>
      </c>
      <c r="M24" s="68"/>
      <c r="N24" s="69"/>
      <c r="O24" s="70"/>
      <c r="P24" s="71"/>
      <c r="Q24" s="71"/>
    </row>
    <row r="25" spans="1:17" ht="15" customHeight="1">
      <c r="A25" s="1"/>
      <c r="B25" s="1"/>
      <c r="C25" s="1"/>
      <c r="D25" s="1"/>
      <c r="E25" s="17" t="s">
        <v>34</v>
      </c>
      <c r="F25" s="28"/>
      <c r="G25" s="44">
        <f>3*3000</f>
        <v>9000</v>
      </c>
      <c r="H25" s="66">
        <f>3*3000</f>
        <v>9000</v>
      </c>
      <c r="I25" s="67">
        <f>3*3000</f>
        <v>9000</v>
      </c>
      <c r="J25" s="28">
        <f t="shared" si="6"/>
        <v>-9000</v>
      </c>
      <c r="K25" s="32">
        <f t="shared" si="7"/>
        <v>0</v>
      </c>
      <c r="L25" s="41" t="s">
        <v>35</v>
      </c>
      <c r="M25" s="9"/>
      <c r="N25" s="64"/>
      <c r="O25" s="65"/>
      <c r="P25" s="10"/>
      <c r="Q25" s="10"/>
    </row>
    <row r="26" spans="1:17" ht="15" customHeight="1">
      <c r="A26" s="1"/>
      <c r="B26" s="1"/>
      <c r="C26" s="1"/>
      <c r="D26" s="1"/>
      <c r="E26" s="17" t="s">
        <v>36</v>
      </c>
      <c r="F26" s="28"/>
      <c r="G26" s="44">
        <f t="shared" ref="G26:I28" si="8">4*3000</f>
        <v>12000</v>
      </c>
      <c r="H26" s="66">
        <f t="shared" si="8"/>
        <v>12000</v>
      </c>
      <c r="I26" s="67">
        <f t="shared" si="8"/>
        <v>12000</v>
      </c>
      <c r="J26" s="28">
        <f t="shared" si="6"/>
        <v>-12000</v>
      </c>
      <c r="K26" s="32">
        <f t="shared" si="7"/>
        <v>0</v>
      </c>
      <c r="L26" s="41" t="s">
        <v>37</v>
      </c>
      <c r="M26" s="9"/>
      <c r="N26" s="72"/>
      <c r="O26" s="73"/>
      <c r="P26" s="74"/>
      <c r="Q26" s="10"/>
    </row>
    <row r="27" spans="1:17" ht="15" customHeight="1">
      <c r="A27" s="1"/>
      <c r="B27" s="1"/>
      <c r="C27" s="1"/>
      <c r="D27" s="1"/>
      <c r="E27" s="17" t="s">
        <v>38</v>
      </c>
      <c r="F27" s="28"/>
      <c r="G27" s="44">
        <f t="shared" si="8"/>
        <v>12000</v>
      </c>
      <c r="H27" s="66">
        <f t="shared" si="8"/>
        <v>12000</v>
      </c>
      <c r="I27" s="67">
        <f t="shared" si="8"/>
        <v>12000</v>
      </c>
      <c r="J27" s="28">
        <f t="shared" si="6"/>
        <v>-12000</v>
      </c>
      <c r="K27" s="32">
        <f t="shared" si="7"/>
        <v>0</v>
      </c>
      <c r="L27" s="41" t="s">
        <v>39</v>
      </c>
      <c r="M27" s="9"/>
      <c r="N27" s="72"/>
      <c r="O27" s="73"/>
      <c r="P27" s="74"/>
      <c r="Q27" s="10"/>
    </row>
    <row r="28" spans="1:17" ht="15" customHeight="1">
      <c r="A28" s="1"/>
      <c r="B28" s="1"/>
      <c r="C28" s="1"/>
      <c r="D28" s="1"/>
      <c r="E28" s="17" t="s">
        <v>40</v>
      </c>
      <c r="F28" s="28"/>
      <c r="G28" s="44">
        <f t="shared" si="8"/>
        <v>12000</v>
      </c>
      <c r="H28" s="66">
        <f t="shared" si="8"/>
        <v>12000</v>
      </c>
      <c r="I28" s="67">
        <f t="shared" si="8"/>
        <v>12000</v>
      </c>
      <c r="J28" s="28">
        <f t="shared" si="6"/>
        <v>-12000</v>
      </c>
      <c r="K28" s="32">
        <f t="shared" si="7"/>
        <v>0</v>
      </c>
      <c r="L28" s="41" t="s">
        <v>41</v>
      </c>
      <c r="M28" s="9"/>
      <c r="N28" s="72"/>
      <c r="O28" s="73"/>
      <c r="P28" s="74"/>
      <c r="Q28" s="10"/>
    </row>
    <row r="29" spans="1:17" ht="15" customHeight="1">
      <c r="A29" s="1"/>
      <c r="B29" s="1"/>
      <c r="C29" s="1"/>
      <c r="D29" s="1"/>
      <c r="E29" s="17" t="s">
        <v>42</v>
      </c>
      <c r="F29" s="28"/>
      <c r="G29" s="44">
        <f>3*3000</f>
        <v>9000</v>
      </c>
      <c r="H29" s="66">
        <f>3*3000</f>
        <v>9000</v>
      </c>
      <c r="I29" s="67">
        <f>3*3000</f>
        <v>9000</v>
      </c>
      <c r="J29" s="28">
        <f t="shared" si="6"/>
        <v>-9000</v>
      </c>
      <c r="K29" s="32">
        <f t="shared" si="7"/>
        <v>0</v>
      </c>
      <c r="L29" s="41" t="s">
        <v>43</v>
      </c>
      <c r="M29" s="9"/>
      <c r="N29" s="72"/>
      <c r="O29" s="73"/>
      <c r="P29" s="74"/>
      <c r="Q29" s="10"/>
    </row>
    <row r="30" spans="1:17" ht="15" customHeight="1">
      <c r="A30" s="1"/>
      <c r="B30" s="1"/>
      <c r="C30" s="1"/>
      <c r="D30" s="1"/>
      <c r="E30" s="17" t="s">
        <v>44</v>
      </c>
      <c r="F30" s="28"/>
      <c r="G30" s="44">
        <f>4*2500</f>
        <v>10000</v>
      </c>
      <c r="H30" s="66">
        <f>4*2500</f>
        <v>10000</v>
      </c>
      <c r="I30" s="67">
        <f>4*2500</f>
        <v>10000</v>
      </c>
      <c r="J30" s="28">
        <f t="shared" si="6"/>
        <v>-10000</v>
      </c>
      <c r="K30" s="32">
        <f t="shared" si="7"/>
        <v>0</v>
      </c>
      <c r="L30" s="41" t="s">
        <v>45</v>
      </c>
      <c r="M30" s="9"/>
      <c r="N30" s="72"/>
      <c r="O30" s="73"/>
      <c r="P30" s="74"/>
      <c r="Q30" s="10"/>
    </row>
    <row r="31" spans="1:17" ht="15" customHeight="1">
      <c r="A31" s="1"/>
      <c r="B31" s="1"/>
      <c r="C31" s="1"/>
      <c r="D31" s="1"/>
      <c r="E31" s="17" t="s">
        <v>46</v>
      </c>
      <c r="F31" s="28"/>
      <c r="G31" s="44">
        <f>2*2500</f>
        <v>5000</v>
      </c>
      <c r="H31" s="66">
        <f>2*2500</f>
        <v>5000</v>
      </c>
      <c r="I31" s="67">
        <f>2*2500</f>
        <v>5000</v>
      </c>
      <c r="J31" s="28">
        <f t="shared" si="6"/>
        <v>-5000</v>
      </c>
      <c r="K31" s="32">
        <f t="shared" si="7"/>
        <v>0</v>
      </c>
      <c r="L31" s="41" t="s">
        <v>47</v>
      </c>
      <c r="M31" s="9"/>
      <c r="N31" s="72"/>
      <c r="O31" s="73"/>
      <c r="P31" s="74"/>
      <c r="Q31" s="10"/>
    </row>
    <row r="32" spans="1:17" ht="15" customHeight="1">
      <c r="A32" s="1"/>
      <c r="B32" s="1"/>
      <c r="C32" s="1"/>
      <c r="D32" s="1"/>
      <c r="E32" s="17" t="s">
        <v>48</v>
      </c>
      <c r="F32" s="28"/>
      <c r="G32" s="44">
        <f>3*2500</f>
        <v>7500</v>
      </c>
      <c r="H32" s="66">
        <f>3*2500</f>
        <v>7500</v>
      </c>
      <c r="I32" s="67">
        <f>3*2500</f>
        <v>7500</v>
      </c>
      <c r="J32" s="28">
        <f t="shared" si="6"/>
        <v>-7500</v>
      </c>
      <c r="K32" s="32">
        <f t="shared" si="7"/>
        <v>0</v>
      </c>
      <c r="L32" s="41" t="s">
        <v>49</v>
      </c>
      <c r="M32" s="9"/>
      <c r="N32" s="72"/>
      <c r="O32" s="73"/>
      <c r="P32" s="74"/>
      <c r="Q32" s="10"/>
    </row>
    <row r="33" spans="1:17" ht="15" customHeight="1">
      <c r="A33" s="1"/>
      <c r="B33" s="1"/>
      <c r="C33" s="1"/>
      <c r="D33" s="1"/>
      <c r="E33" s="75" t="s">
        <v>50</v>
      </c>
      <c r="F33" s="28"/>
      <c r="G33" s="44">
        <f>4*1500</f>
        <v>6000</v>
      </c>
      <c r="H33" s="66">
        <f>4*1500</f>
        <v>6000</v>
      </c>
      <c r="I33" s="67">
        <f>4*1500</f>
        <v>6000</v>
      </c>
      <c r="J33" s="28">
        <f t="shared" si="6"/>
        <v>-6000</v>
      </c>
      <c r="K33" s="32">
        <f t="shared" si="7"/>
        <v>0</v>
      </c>
      <c r="L33" s="41" t="s">
        <v>51</v>
      </c>
      <c r="M33" s="9"/>
      <c r="N33" s="72"/>
      <c r="O33" s="73"/>
      <c r="P33" s="74"/>
      <c r="Q33" s="10"/>
    </row>
    <row r="34" spans="1:17" ht="15" customHeight="1">
      <c r="A34" s="1"/>
      <c r="B34" s="1"/>
      <c r="C34" s="1"/>
      <c r="D34" s="1"/>
      <c r="E34" s="75" t="s">
        <v>52</v>
      </c>
      <c r="F34" s="28"/>
      <c r="G34" s="44">
        <f>4*1000</f>
        <v>4000</v>
      </c>
      <c r="H34" s="66">
        <f>4*1000</f>
        <v>4000</v>
      </c>
      <c r="I34" s="67">
        <f>4*1000</f>
        <v>4000</v>
      </c>
      <c r="J34" s="28">
        <f t="shared" si="6"/>
        <v>-4000</v>
      </c>
      <c r="K34" s="32">
        <f t="shared" si="7"/>
        <v>0</v>
      </c>
      <c r="L34" s="41" t="s">
        <v>53</v>
      </c>
      <c r="M34" s="9"/>
      <c r="N34" s="72"/>
      <c r="O34" s="73"/>
      <c r="P34" s="74"/>
      <c r="Q34" s="10"/>
    </row>
    <row r="35" spans="1:17" ht="15" customHeight="1">
      <c r="A35" s="1"/>
      <c r="B35" s="1"/>
      <c r="C35" s="1"/>
      <c r="D35" s="1"/>
      <c r="E35" s="75" t="s">
        <v>54</v>
      </c>
      <c r="F35" s="28"/>
      <c r="G35" s="44">
        <f>4*500</f>
        <v>2000</v>
      </c>
      <c r="H35" s="66">
        <f>4*500</f>
        <v>2000</v>
      </c>
      <c r="I35" s="67">
        <f>4*500</f>
        <v>2000</v>
      </c>
      <c r="J35" s="28">
        <f t="shared" si="6"/>
        <v>-2000</v>
      </c>
      <c r="K35" s="32">
        <f t="shared" si="7"/>
        <v>0</v>
      </c>
      <c r="L35" s="41" t="s">
        <v>55</v>
      </c>
      <c r="M35" s="9"/>
      <c r="N35" s="72"/>
      <c r="O35" s="73"/>
      <c r="P35" s="74"/>
      <c r="Q35" s="10"/>
    </row>
    <row r="36" spans="1:17" ht="15" customHeight="1">
      <c r="A36" s="1"/>
      <c r="B36" s="1"/>
      <c r="C36" s="1"/>
      <c r="D36" s="1"/>
      <c r="E36" s="17" t="s">
        <v>56</v>
      </c>
      <c r="F36" s="28"/>
      <c r="G36" s="44">
        <f>8*1000</f>
        <v>8000</v>
      </c>
      <c r="H36" s="66">
        <f>8*1000</f>
        <v>8000</v>
      </c>
      <c r="I36" s="67">
        <f>8*1000</f>
        <v>8000</v>
      </c>
      <c r="J36" s="28">
        <f t="shared" si="6"/>
        <v>-8000</v>
      </c>
      <c r="K36" s="32">
        <f t="shared" si="7"/>
        <v>0</v>
      </c>
      <c r="L36" s="41" t="s">
        <v>57</v>
      </c>
      <c r="M36" s="9"/>
      <c r="N36" s="72"/>
      <c r="O36" s="73"/>
      <c r="P36" s="76"/>
      <c r="Q36" s="10"/>
    </row>
    <row r="37" spans="1:17" ht="15.75" customHeight="1">
      <c r="A37" s="1"/>
      <c r="B37" s="1"/>
      <c r="C37" s="1"/>
      <c r="D37" s="1"/>
      <c r="E37" s="17" t="s">
        <v>58</v>
      </c>
      <c r="F37" s="28"/>
      <c r="G37" s="44">
        <f>4*1000</f>
        <v>4000</v>
      </c>
      <c r="H37" s="66">
        <f>4*1000</f>
        <v>4000</v>
      </c>
      <c r="I37" s="67">
        <f>4*1000</f>
        <v>4000</v>
      </c>
      <c r="J37" s="28">
        <f t="shared" si="6"/>
        <v>-4000</v>
      </c>
      <c r="K37" s="32">
        <f t="shared" si="7"/>
        <v>0</v>
      </c>
      <c r="L37" s="41" t="s">
        <v>59</v>
      </c>
      <c r="M37" s="9"/>
      <c r="N37" s="64"/>
      <c r="O37" s="65"/>
      <c r="P37" s="10"/>
      <c r="Q37" s="10"/>
    </row>
    <row r="38" spans="1:17" ht="15" customHeight="1">
      <c r="A38" s="1"/>
      <c r="B38" s="1"/>
      <c r="C38" s="1"/>
      <c r="D38" s="1"/>
      <c r="E38" s="17" t="s">
        <v>60</v>
      </c>
      <c r="F38" s="28"/>
      <c r="G38" s="29">
        <f>3*750</f>
        <v>2250</v>
      </c>
      <c r="H38" s="30">
        <f>3*750</f>
        <v>2250</v>
      </c>
      <c r="I38" s="31">
        <f>3*750</f>
        <v>2250</v>
      </c>
      <c r="J38" s="28">
        <f t="shared" si="6"/>
        <v>-2250</v>
      </c>
      <c r="K38" s="32">
        <f t="shared" si="7"/>
        <v>0</v>
      </c>
      <c r="L38" s="41" t="s">
        <v>61</v>
      </c>
      <c r="M38" s="9"/>
      <c r="N38" s="64"/>
      <c r="O38" s="65"/>
      <c r="P38" s="10"/>
      <c r="Q38" s="10"/>
    </row>
    <row r="39" spans="1:17" ht="15" customHeight="1">
      <c r="A39" s="1"/>
      <c r="B39" s="1"/>
      <c r="C39" s="1"/>
      <c r="D39" s="1"/>
      <c r="E39" s="17" t="s">
        <v>62</v>
      </c>
      <c r="F39" s="28"/>
      <c r="G39" s="29">
        <f>5*1000</f>
        <v>5000</v>
      </c>
      <c r="H39" s="30">
        <f>5*1000</f>
        <v>5000</v>
      </c>
      <c r="I39" s="31">
        <f>5*1000</f>
        <v>5000</v>
      </c>
      <c r="J39" s="28">
        <f t="shared" si="6"/>
        <v>-5000</v>
      </c>
      <c r="K39" s="32">
        <f t="shared" si="7"/>
        <v>0</v>
      </c>
      <c r="L39" s="41" t="s">
        <v>63</v>
      </c>
      <c r="M39" s="9"/>
      <c r="N39" s="64"/>
      <c r="O39" s="65"/>
      <c r="P39" s="10"/>
      <c r="Q39" s="10"/>
    </row>
    <row r="40" spans="1:17" ht="15" customHeight="1">
      <c r="A40" s="1"/>
      <c r="B40" s="1"/>
      <c r="C40" s="1"/>
      <c r="D40" s="1"/>
      <c r="E40" s="17" t="s">
        <v>64</v>
      </c>
      <c r="F40" s="28"/>
      <c r="G40" s="29">
        <f>5*500</f>
        <v>2500</v>
      </c>
      <c r="H40" s="30">
        <f>5*500</f>
        <v>2500</v>
      </c>
      <c r="I40" s="31">
        <f>5*500</f>
        <v>2500</v>
      </c>
      <c r="J40" s="28">
        <f t="shared" si="6"/>
        <v>-2500</v>
      </c>
      <c r="K40" s="32">
        <f t="shared" si="7"/>
        <v>0</v>
      </c>
      <c r="L40" s="41" t="s">
        <v>65</v>
      </c>
      <c r="M40" s="9"/>
      <c r="N40" s="64"/>
      <c r="O40" s="65"/>
      <c r="P40" s="10"/>
      <c r="Q40" s="10"/>
    </row>
    <row r="41" spans="1:17" ht="15" customHeight="1">
      <c r="A41" s="1"/>
      <c r="B41" s="1"/>
      <c r="C41" s="1"/>
      <c r="D41" s="1"/>
      <c r="E41" s="17" t="s">
        <v>66</v>
      </c>
      <c r="F41" s="28"/>
      <c r="G41" s="29">
        <f>10*250</f>
        <v>2500</v>
      </c>
      <c r="H41" s="30">
        <f>10*250</f>
        <v>2500</v>
      </c>
      <c r="I41" s="31">
        <f>10*250</f>
        <v>2500</v>
      </c>
      <c r="J41" s="28">
        <f t="shared" si="6"/>
        <v>-2500</v>
      </c>
      <c r="K41" s="32">
        <f t="shared" si="7"/>
        <v>0</v>
      </c>
      <c r="L41" s="41" t="s">
        <v>67</v>
      </c>
      <c r="M41" s="9"/>
      <c r="N41" s="64"/>
      <c r="O41" s="65"/>
      <c r="P41" s="10"/>
      <c r="Q41" s="10"/>
    </row>
    <row r="42" spans="1:17" ht="15" customHeight="1">
      <c r="A42" s="1"/>
      <c r="B42" s="1"/>
      <c r="C42" s="1"/>
      <c r="D42" s="1"/>
      <c r="E42" s="17" t="s">
        <v>68</v>
      </c>
      <c r="F42" s="28"/>
      <c r="G42" s="29">
        <f>10*500</f>
        <v>5000</v>
      </c>
      <c r="H42" s="30">
        <f>10*500</f>
        <v>5000</v>
      </c>
      <c r="I42" s="31">
        <f>10*500</f>
        <v>5000</v>
      </c>
      <c r="J42" s="28">
        <f t="shared" si="6"/>
        <v>-5000</v>
      </c>
      <c r="K42" s="32">
        <f t="shared" si="7"/>
        <v>0</v>
      </c>
      <c r="L42" s="41" t="s">
        <v>69</v>
      </c>
      <c r="M42" s="9"/>
      <c r="N42" s="64"/>
      <c r="O42" s="65"/>
      <c r="P42" s="10"/>
      <c r="Q42" s="10"/>
    </row>
    <row r="43" spans="1:17" ht="15" customHeight="1">
      <c r="A43" s="1"/>
      <c r="B43" s="1"/>
      <c r="C43" s="1"/>
      <c r="D43" s="1"/>
      <c r="E43" s="17" t="s">
        <v>70</v>
      </c>
      <c r="F43" s="28"/>
      <c r="G43" s="29">
        <f>30*500</f>
        <v>15000</v>
      </c>
      <c r="H43" s="30">
        <f>30*500</f>
        <v>15000</v>
      </c>
      <c r="I43" s="31">
        <f>30*500</f>
        <v>15000</v>
      </c>
      <c r="J43" s="28">
        <f t="shared" si="6"/>
        <v>-15000</v>
      </c>
      <c r="K43" s="32">
        <f t="shared" si="7"/>
        <v>0</v>
      </c>
      <c r="L43" s="41" t="s">
        <v>71</v>
      </c>
      <c r="M43" s="9"/>
      <c r="N43" s="64"/>
      <c r="O43" s="65"/>
      <c r="P43" s="10"/>
      <c r="Q43" s="10"/>
    </row>
    <row r="44" spans="1:17" ht="15" customHeight="1">
      <c r="A44" s="1"/>
      <c r="B44" s="1"/>
      <c r="C44" s="1"/>
      <c r="D44" s="1"/>
      <c r="E44" s="17" t="s">
        <v>72</v>
      </c>
      <c r="F44" s="45"/>
      <c r="G44" s="46">
        <f>10*750</f>
        <v>7500</v>
      </c>
      <c r="H44" s="47">
        <f>10*750</f>
        <v>7500</v>
      </c>
      <c r="I44" s="48">
        <f>10*750</f>
        <v>7500</v>
      </c>
      <c r="J44" s="45">
        <f t="shared" si="6"/>
        <v>-7500</v>
      </c>
      <c r="K44" s="49">
        <f t="shared" si="7"/>
        <v>0</v>
      </c>
      <c r="L44" s="41" t="s">
        <v>73</v>
      </c>
      <c r="M44" s="9"/>
      <c r="N44" s="64"/>
      <c r="O44" s="65"/>
      <c r="P44" s="10"/>
      <c r="Q44" s="10"/>
    </row>
    <row r="45" spans="1:17" ht="15" customHeight="1">
      <c r="A45" s="1"/>
      <c r="B45" s="1"/>
      <c r="C45" s="1"/>
      <c r="D45" s="1" t="s">
        <v>74</v>
      </c>
      <c r="E45" s="1"/>
      <c r="F45" s="18">
        <f>ROUND(SUM(F21:F37),5)</f>
        <v>0</v>
      </c>
      <c r="G45" s="77">
        <f>ROUND(SUM(G21:G37),5)</f>
        <v>124500</v>
      </c>
      <c r="H45" s="78">
        <f>SUM(H22:H37)</f>
        <v>124500</v>
      </c>
      <c r="I45" s="79">
        <f>SUM(I22:I37)</f>
        <v>124500</v>
      </c>
      <c r="J45" s="18">
        <f t="shared" si="6"/>
        <v>-124500</v>
      </c>
      <c r="K45" s="22">
        <f t="shared" si="7"/>
        <v>0</v>
      </c>
      <c r="L45" s="23"/>
      <c r="M45" s="80"/>
      <c r="N45" s="81"/>
      <c r="O45" s="82"/>
      <c r="P45" s="27"/>
      <c r="Q45" s="27"/>
    </row>
    <row r="46" spans="1:17" ht="30" customHeight="1">
      <c r="A46" s="1"/>
      <c r="B46" s="1"/>
      <c r="C46" s="1"/>
      <c r="D46" s="1" t="s">
        <v>75</v>
      </c>
      <c r="E46" s="1"/>
      <c r="F46" s="28"/>
      <c r="G46" s="29"/>
      <c r="H46" s="30"/>
      <c r="I46" s="31"/>
      <c r="J46" s="28"/>
      <c r="K46" s="32"/>
      <c r="L46" s="7"/>
      <c r="M46" s="9"/>
      <c r="N46" s="64"/>
      <c r="O46" s="65"/>
      <c r="P46" s="10"/>
      <c r="Q46" s="10"/>
    </row>
    <row r="47" spans="1:17" ht="15" customHeight="1">
      <c r="A47" s="1"/>
      <c r="B47" s="1"/>
      <c r="C47" s="1"/>
      <c r="D47" s="1"/>
      <c r="E47" s="1" t="s">
        <v>76</v>
      </c>
      <c r="F47" s="28"/>
      <c r="G47" s="44">
        <f>$L47*M47</f>
        <v>9000</v>
      </c>
      <c r="H47" s="66">
        <f>$L47*N47</f>
        <v>12000</v>
      </c>
      <c r="I47" s="67">
        <f>$L47*O47</f>
        <v>15000</v>
      </c>
      <c r="J47" s="28">
        <f t="shared" ref="J47:J52" si="9">ROUND((F47-G47),5)</f>
        <v>-9000</v>
      </c>
      <c r="K47" s="32">
        <f t="shared" ref="K47:K52" si="10">ROUND(IF(G47=0, IF(F47=0, 0, 1), F47/G47),5)</f>
        <v>0</v>
      </c>
      <c r="L47" s="41">
        <v>30</v>
      </c>
      <c r="M47" s="42">
        <v>300</v>
      </c>
      <c r="N47" s="39">
        <v>400</v>
      </c>
      <c r="O47" s="40">
        <v>500</v>
      </c>
      <c r="P47" s="10"/>
      <c r="Q47" s="10"/>
    </row>
    <row r="48" spans="1:17" ht="15" customHeight="1">
      <c r="A48" s="1"/>
      <c r="B48" s="1"/>
      <c r="C48" s="1"/>
      <c r="D48" s="1"/>
      <c r="E48" s="1" t="s">
        <v>77</v>
      </c>
      <c r="F48" s="28"/>
      <c r="G48" s="44">
        <v>1500</v>
      </c>
      <c r="H48" s="66">
        <f>G48*1.33</f>
        <v>1995</v>
      </c>
      <c r="I48" s="67">
        <f>H48*1.25</f>
        <v>2493.75</v>
      </c>
      <c r="J48" s="28">
        <f t="shared" si="9"/>
        <v>-1500</v>
      </c>
      <c r="K48" s="32">
        <f t="shared" si="10"/>
        <v>0</v>
      </c>
      <c r="L48" s="7"/>
      <c r="M48" s="9"/>
      <c r="N48" s="64"/>
      <c r="O48" s="65"/>
      <c r="P48" s="10"/>
      <c r="Q48" s="10"/>
    </row>
    <row r="49" spans="1:17" ht="15" customHeight="1">
      <c r="A49" s="83"/>
      <c r="B49" s="83"/>
      <c r="C49" s="83"/>
      <c r="D49" s="83"/>
      <c r="E49" s="84" t="s">
        <v>78</v>
      </c>
      <c r="F49" s="85"/>
      <c r="G49" s="44">
        <f>$L49*M49</f>
        <v>2500</v>
      </c>
      <c r="H49" s="66">
        <f>$L49*N49</f>
        <v>3500</v>
      </c>
      <c r="I49" s="67">
        <f>$L49*O49</f>
        <v>4500</v>
      </c>
      <c r="J49" s="86">
        <f t="shared" si="9"/>
        <v>-2500</v>
      </c>
      <c r="K49" s="87">
        <f t="shared" si="10"/>
        <v>0</v>
      </c>
      <c r="L49" s="37">
        <v>50</v>
      </c>
      <c r="M49" s="88">
        <v>50</v>
      </c>
      <c r="N49" s="89">
        <v>70</v>
      </c>
      <c r="O49" s="90">
        <v>90</v>
      </c>
      <c r="P49" s="91"/>
      <c r="Q49" s="92"/>
    </row>
    <row r="50" spans="1:17" ht="15" customHeight="1">
      <c r="A50" s="1"/>
      <c r="B50" s="1"/>
      <c r="C50" s="1"/>
      <c r="D50" s="1"/>
      <c r="E50" s="1" t="s">
        <v>79</v>
      </c>
      <c r="F50" s="28"/>
      <c r="G50" s="44">
        <v>400</v>
      </c>
      <c r="H50" s="66">
        <f>G50*1.33</f>
        <v>532</v>
      </c>
      <c r="I50" s="67">
        <f>H50*1.25</f>
        <v>665</v>
      </c>
      <c r="J50" s="28">
        <f t="shared" si="9"/>
        <v>-400</v>
      </c>
      <c r="K50" s="32">
        <f t="shared" si="10"/>
        <v>0</v>
      </c>
      <c r="L50" s="7"/>
      <c r="M50" s="9"/>
      <c r="N50" s="64"/>
      <c r="O50" s="65"/>
      <c r="P50" s="10"/>
      <c r="Q50" s="10"/>
    </row>
    <row r="51" spans="1:17" ht="15.75" customHeight="1">
      <c r="A51" s="1"/>
      <c r="B51" s="1"/>
      <c r="C51" s="1"/>
      <c r="D51" s="1"/>
      <c r="E51" s="1" t="s">
        <v>80</v>
      </c>
      <c r="F51" s="93">
        <v>0</v>
      </c>
      <c r="G51" s="94">
        <v>0</v>
      </c>
      <c r="H51" s="95">
        <f>G51*1.33</f>
        <v>0</v>
      </c>
      <c r="I51" s="96">
        <f>H51*1.25</f>
        <v>0</v>
      </c>
      <c r="J51" s="45">
        <f t="shared" si="9"/>
        <v>0</v>
      </c>
      <c r="K51" s="49">
        <f t="shared" si="10"/>
        <v>0</v>
      </c>
      <c r="L51" s="7"/>
      <c r="M51" s="9"/>
      <c r="N51" s="64"/>
      <c r="O51" s="65"/>
      <c r="P51" s="10"/>
      <c r="Q51" s="10"/>
    </row>
    <row r="52" spans="1:17" ht="15" customHeight="1">
      <c r="A52" s="1"/>
      <c r="B52" s="1"/>
      <c r="C52" s="1"/>
      <c r="D52" s="1" t="s">
        <v>81</v>
      </c>
      <c r="E52" s="1"/>
      <c r="F52" s="18">
        <f>SUM(F47:F51)</f>
        <v>0</v>
      </c>
      <c r="G52" s="77">
        <f>ROUND(SUM(G46:G51),5)</f>
        <v>13400</v>
      </c>
      <c r="H52" s="78">
        <f>SUM(H47:H51)</f>
        <v>18027</v>
      </c>
      <c r="I52" s="79">
        <f>SUM(I47:I51)</f>
        <v>22658.75</v>
      </c>
      <c r="J52" s="18">
        <f t="shared" si="9"/>
        <v>-13400</v>
      </c>
      <c r="K52" s="22">
        <f t="shared" si="10"/>
        <v>0</v>
      </c>
      <c r="L52" s="23"/>
      <c r="M52" s="80"/>
      <c r="N52" s="81"/>
      <c r="O52" s="82"/>
      <c r="P52" s="27"/>
      <c r="Q52" s="27"/>
    </row>
    <row r="53" spans="1:17" ht="30" customHeight="1">
      <c r="A53" s="1"/>
      <c r="B53" s="1"/>
      <c r="C53" s="1"/>
      <c r="D53" s="1" t="s">
        <v>82</v>
      </c>
      <c r="E53" s="1"/>
      <c r="F53" s="28"/>
      <c r="G53" s="29"/>
      <c r="H53" s="30"/>
      <c r="I53" s="31"/>
      <c r="J53" s="28"/>
      <c r="K53" s="32"/>
      <c r="L53" s="7"/>
      <c r="M53" s="9"/>
      <c r="N53" s="64"/>
      <c r="O53" s="65"/>
      <c r="P53" s="10"/>
      <c r="Q53" s="10"/>
    </row>
    <row r="54" spans="1:17" ht="15" customHeight="1">
      <c r="A54" s="1"/>
      <c r="B54" s="1"/>
      <c r="C54" s="1"/>
      <c r="D54" s="1"/>
      <c r="E54" s="1" t="s">
        <v>83</v>
      </c>
      <c r="F54" s="28"/>
      <c r="G54" s="44">
        <v>0</v>
      </c>
      <c r="H54" s="66">
        <v>0</v>
      </c>
      <c r="I54" s="67">
        <v>0</v>
      </c>
      <c r="J54" s="28">
        <f t="shared" ref="J54:J60" si="11">ROUND((F54-G54),5)</f>
        <v>0</v>
      </c>
      <c r="K54" s="32">
        <f t="shared" ref="K54:K60" si="12">ROUND(IF(G54=0, IF(F54=0, 0, 1), F54/G54),5)</f>
        <v>0</v>
      </c>
      <c r="L54" s="7"/>
      <c r="M54" s="9"/>
      <c r="N54" s="64"/>
      <c r="O54" s="65"/>
      <c r="P54" s="10"/>
      <c r="Q54" s="10"/>
    </row>
    <row r="55" spans="1:17" ht="15" customHeight="1">
      <c r="A55" s="1"/>
      <c r="B55" s="1"/>
      <c r="C55" s="1"/>
      <c r="D55" s="1"/>
      <c r="E55" s="1" t="s">
        <v>84</v>
      </c>
      <c r="F55" s="28"/>
      <c r="G55" s="44">
        <v>0</v>
      </c>
      <c r="H55" s="66">
        <v>0</v>
      </c>
      <c r="I55" s="67">
        <v>0</v>
      </c>
      <c r="J55" s="28">
        <f t="shared" si="11"/>
        <v>0</v>
      </c>
      <c r="K55" s="32">
        <f t="shared" si="12"/>
        <v>0</v>
      </c>
      <c r="L55" s="7"/>
      <c r="M55" s="9"/>
      <c r="N55" s="64"/>
      <c r="O55" s="65"/>
      <c r="P55" s="10"/>
      <c r="Q55" s="10"/>
    </row>
    <row r="56" spans="1:17" ht="15" customHeight="1">
      <c r="A56" s="1"/>
      <c r="B56" s="1"/>
      <c r="C56" s="1"/>
      <c r="D56" s="1"/>
      <c r="E56" s="1" t="s">
        <v>85</v>
      </c>
      <c r="F56" s="28"/>
      <c r="G56" s="44">
        <v>0</v>
      </c>
      <c r="H56" s="66">
        <v>0</v>
      </c>
      <c r="I56" s="67">
        <v>0</v>
      </c>
      <c r="J56" s="28">
        <f t="shared" si="11"/>
        <v>0</v>
      </c>
      <c r="K56" s="32">
        <f t="shared" si="12"/>
        <v>0</v>
      </c>
      <c r="L56" s="7"/>
      <c r="M56" s="9"/>
      <c r="N56" s="64"/>
      <c r="O56" s="65"/>
      <c r="P56" s="10"/>
      <c r="Q56" s="10"/>
    </row>
    <row r="57" spans="1:17" ht="15.75" customHeight="1">
      <c r="A57" s="1"/>
      <c r="B57" s="1"/>
      <c r="C57" s="1"/>
      <c r="D57" s="1"/>
      <c r="E57" s="1" t="s">
        <v>86</v>
      </c>
      <c r="F57" s="45"/>
      <c r="G57" s="94">
        <v>0</v>
      </c>
      <c r="H57" s="95">
        <v>0</v>
      </c>
      <c r="I57" s="96">
        <v>0</v>
      </c>
      <c r="J57" s="45">
        <f t="shared" si="11"/>
        <v>0</v>
      </c>
      <c r="K57" s="49">
        <f t="shared" si="12"/>
        <v>0</v>
      </c>
      <c r="L57" s="7"/>
      <c r="M57" s="9"/>
      <c r="N57" s="64"/>
      <c r="O57" s="65"/>
      <c r="P57" s="10"/>
      <c r="Q57" s="10"/>
    </row>
    <row r="58" spans="1:17" ht="15.75" customHeight="1">
      <c r="A58" s="1"/>
      <c r="B58" s="1"/>
      <c r="C58" s="1"/>
      <c r="D58" s="1" t="s">
        <v>87</v>
      </c>
      <c r="E58" s="1"/>
      <c r="F58" s="18">
        <f>ROUND(SUM(F53:F57),5)</f>
        <v>0</v>
      </c>
      <c r="G58" s="54">
        <f>ROUND(SUM(G53:G57),5)</f>
        <v>0</v>
      </c>
      <c r="H58" s="55">
        <f>ROUND(SUM(H53:H57),5)</f>
        <v>0</v>
      </c>
      <c r="I58" s="56">
        <f>ROUND(SUM(I53:I57),5)</f>
        <v>0</v>
      </c>
      <c r="J58" s="18">
        <f t="shared" si="11"/>
        <v>0</v>
      </c>
      <c r="K58" s="22">
        <f t="shared" si="12"/>
        <v>0</v>
      </c>
      <c r="L58" s="23"/>
      <c r="M58" s="80"/>
      <c r="N58" s="81"/>
      <c r="O58" s="82"/>
      <c r="P58" s="27"/>
      <c r="Q58" s="27"/>
    </row>
    <row r="59" spans="1:17" ht="30" customHeight="1">
      <c r="A59" s="1"/>
      <c r="B59" s="1"/>
      <c r="C59" s="1" t="s">
        <v>88</v>
      </c>
      <c r="D59" s="1"/>
      <c r="E59" s="1"/>
      <c r="F59" s="97">
        <f>ROUND(F3+F20+F45+F52+F58,5)</f>
        <v>0</v>
      </c>
      <c r="G59" s="98">
        <f>G20+G45+G52+G58</f>
        <v>541625</v>
      </c>
      <c r="H59" s="99">
        <f>H20+H45+H52+H58</f>
        <v>682437</v>
      </c>
      <c r="I59" s="100">
        <f>I20+I45+I52+I58</f>
        <v>824090</v>
      </c>
      <c r="J59" s="97">
        <f t="shared" si="11"/>
        <v>-541625</v>
      </c>
      <c r="K59" s="101">
        <f t="shared" si="12"/>
        <v>0</v>
      </c>
      <c r="L59" s="23"/>
      <c r="M59" s="80"/>
      <c r="N59" s="81"/>
      <c r="O59" s="82"/>
      <c r="P59" s="27"/>
      <c r="Q59" s="27"/>
    </row>
    <row r="60" spans="1:17" ht="30" customHeight="1">
      <c r="A60" s="1"/>
      <c r="B60" s="1" t="s">
        <v>89</v>
      </c>
      <c r="C60" s="1"/>
      <c r="D60" s="1"/>
      <c r="E60" s="1"/>
      <c r="F60" s="18">
        <f>F59</f>
        <v>0</v>
      </c>
      <c r="G60" s="19">
        <f>G59</f>
        <v>541625</v>
      </c>
      <c r="H60" s="20">
        <f>H59</f>
        <v>682437</v>
      </c>
      <c r="I60" s="21">
        <f>I59</f>
        <v>824090</v>
      </c>
      <c r="J60" s="18">
        <f t="shared" si="11"/>
        <v>-541625</v>
      </c>
      <c r="K60" s="22">
        <f t="shared" si="12"/>
        <v>0</v>
      </c>
      <c r="L60" s="23"/>
      <c r="M60" s="80"/>
      <c r="N60" s="81"/>
      <c r="O60" s="82"/>
      <c r="P60" s="27"/>
      <c r="Q60" s="27"/>
    </row>
    <row r="61" spans="1:17" ht="30" customHeight="1">
      <c r="A61" s="17" t="s">
        <v>90</v>
      </c>
      <c r="B61" s="1"/>
      <c r="C61" s="17"/>
      <c r="D61" s="1"/>
      <c r="E61" s="1"/>
      <c r="F61" s="28"/>
      <c r="G61" s="29"/>
      <c r="H61" s="30"/>
      <c r="I61" s="31"/>
      <c r="J61" s="28"/>
      <c r="K61" s="32"/>
      <c r="L61" s="7"/>
      <c r="M61" s="9"/>
      <c r="N61" s="64"/>
      <c r="O61" s="65"/>
      <c r="P61" s="10"/>
      <c r="Q61" s="10"/>
    </row>
    <row r="62" spans="1:17" ht="15" customHeight="1">
      <c r="A62" s="1"/>
      <c r="B62" s="1"/>
      <c r="C62" s="1"/>
      <c r="D62" s="1" t="s">
        <v>91</v>
      </c>
      <c r="E62" s="1"/>
      <c r="F62" s="28"/>
      <c r="G62" s="29"/>
      <c r="H62" s="30"/>
      <c r="I62" s="31"/>
      <c r="J62" s="28"/>
      <c r="K62" s="32"/>
      <c r="L62" s="7"/>
      <c r="M62" s="9"/>
      <c r="N62" s="64"/>
      <c r="O62" s="65"/>
      <c r="P62" s="10"/>
      <c r="Q62" s="10"/>
    </row>
    <row r="63" spans="1:17" ht="15" customHeight="1">
      <c r="A63" s="1"/>
      <c r="B63" s="1"/>
      <c r="C63" s="1"/>
      <c r="D63" s="1"/>
      <c r="E63" s="1" t="s">
        <v>92</v>
      </c>
      <c r="F63" s="28"/>
      <c r="G63" s="44">
        <v>1000</v>
      </c>
      <c r="H63" s="66">
        <v>1000</v>
      </c>
      <c r="I63" s="67">
        <v>1000</v>
      </c>
      <c r="J63" s="28">
        <f t="shared" ref="J63:J69" si="13">ROUND((F63-G63),5)</f>
        <v>-1000</v>
      </c>
      <c r="K63" s="32">
        <f t="shared" ref="K63:K69" si="14">ROUND(IF(G63=0, IF(F63=0, 0, 1), F63/G63),5)</f>
        <v>0</v>
      </c>
      <c r="L63" s="7"/>
      <c r="M63" s="9"/>
      <c r="N63" s="64"/>
      <c r="O63" s="65"/>
      <c r="P63" s="10"/>
      <c r="Q63" s="10"/>
    </row>
    <row r="64" spans="1:17" ht="15" customHeight="1">
      <c r="A64" s="1"/>
      <c r="B64" s="1"/>
      <c r="C64" s="1"/>
      <c r="D64" s="1"/>
      <c r="E64" s="1" t="s">
        <v>93</v>
      </c>
      <c r="F64" s="28"/>
      <c r="G64" s="44">
        <v>1000</v>
      </c>
      <c r="H64" s="66">
        <v>1000</v>
      </c>
      <c r="I64" s="67">
        <v>1000</v>
      </c>
      <c r="J64" s="28">
        <f t="shared" si="13"/>
        <v>-1000</v>
      </c>
      <c r="K64" s="32">
        <f t="shared" si="14"/>
        <v>0</v>
      </c>
      <c r="L64" s="7"/>
      <c r="M64" s="9"/>
      <c r="N64" s="64"/>
      <c r="O64" s="65"/>
      <c r="P64" s="10"/>
      <c r="Q64" s="10"/>
    </row>
    <row r="65" spans="1:17" ht="15" customHeight="1">
      <c r="A65" s="1"/>
      <c r="B65" s="1"/>
      <c r="C65" s="1"/>
      <c r="D65" s="1"/>
      <c r="E65" s="1" t="s">
        <v>94</v>
      </c>
      <c r="F65" s="28"/>
      <c r="G65" s="44">
        <v>1000</v>
      </c>
      <c r="H65" s="66">
        <v>1000</v>
      </c>
      <c r="I65" s="67">
        <v>1000</v>
      </c>
      <c r="J65" s="28">
        <f t="shared" si="13"/>
        <v>-1000</v>
      </c>
      <c r="K65" s="32">
        <f t="shared" si="14"/>
        <v>0</v>
      </c>
      <c r="L65" s="7"/>
      <c r="M65" s="9"/>
      <c r="N65" s="64"/>
      <c r="O65" s="65"/>
      <c r="P65" s="10"/>
      <c r="Q65" s="10"/>
    </row>
    <row r="66" spans="1:17" ht="15" customHeight="1">
      <c r="A66" s="1"/>
      <c r="B66" s="1"/>
      <c r="C66" s="1"/>
      <c r="D66" s="1"/>
      <c r="E66" s="1" t="s">
        <v>95</v>
      </c>
      <c r="F66" s="28"/>
      <c r="G66" s="44">
        <v>1000</v>
      </c>
      <c r="H66" s="66">
        <v>1000</v>
      </c>
      <c r="I66" s="67">
        <v>1000</v>
      </c>
      <c r="J66" s="28">
        <f t="shared" si="13"/>
        <v>-1000</v>
      </c>
      <c r="K66" s="32">
        <f t="shared" si="14"/>
        <v>0</v>
      </c>
      <c r="L66" s="7"/>
      <c r="M66" s="9"/>
      <c r="N66" s="64"/>
      <c r="O66" s="65"/>
      <c r="P66" s="10"/>
      <c r="Q66" s="10"/>
    </row>
    <row r="67" spans="1:17" ht="15" customHeight="1">
      <c r="A67" s="1"/>
      <c r="B67" s="1"/>
      <c r="C67" s="1"/>
      <c r="D67" s="1"/>
      <c r="E67" s="1" t="s">
        <v>96</v>
      </c>
      <c r="F67" s="28"/>
      <c r="G67" s="44">
        <v>500</v>
      </c>
      <c r="H67" s="66">
        <v>500</v>
      </c>
      <c r="I67" s="67">
        <v>500</v>
      </c>
      <c r="J67" s="28">
        <f t="shared" si="13"/>
        <v>-500</v>
      </c>
      <c r="K67" s="32">
        <f t="shared" si="14"/>
        <v>0</v>
      </c>
      <c r="L67" s="7"/>
      <c r="M67" s="9"/>
      <c r="N67" s="64"/>
      <c r="O67" s="65"/>
      <c r="P67" s="10"/>
      <c r="Q67" s="10"/>
    </row>
    <row r="68" spans="1:17" ht="15.75" customHeight="1">
      <c r="A68" s="1"/>
      <c r="B68" s="1"/>
      <c r="C68" s="1"/>
      <c r="D68" s="1"/>
      <c r="E68" s="1" t="s">
        <v>97</v>
      </c>
      <c r="F68" s="45"/>
      <c r="G68" s="102">
        <v>500</v>
      </c>
      <c r="H68" s="103">
        <v>500</v>
      </c>
      <c r="I68" s="104">
        <v>500</v>
      </c>
      <c r="J68" s="45">
        <f t="shared" si="13"/>
        <v>-500</v>
      </c>
      <c r="K68" s="49">
        <f t="shared" si="14"/>
        <v>0</v>
      </c>
      <c r="L68" s="7"/>
      <c r="M68" s="9"/>
      <c r="N68" s="64"/>
      <c r="O68" s="65"/>
      <c r="P68" s="10"/>
      <c r="Q68" s="10"/>
    </row>
    <row r="69" spans="1:17" ht="15" customHeight="1">
      <c r="A69" s="1"/>
      <c r="B69" s="83"/>
      <c r="C69" s="83"/>
      <c r="D69" s="83" t="s">
        <v>98</v>
      </c>
      <c r="E69" s="83"/>
      <c r="F69" s="105">
        <f>ROUND(SUM(F62:F68),5)</f>
        <v>0</v>
      </c>
      <c r="G69" s="106">
        <f>ROUND(SUM(G62:G68),5)</f>
        <v>5000</v>
      </c>
      <c r="H69" s="107">
        <f>ROUND(SUM(H62:H68),5)</f>
        <v>5000</v>
      </c>
      <c r="I69" s="108">
        <f>ROUND(SUM(I62:I68),5)</f>
        <v>5000</v>
      </c>
      <c r="J69" s="109">
        <f t="shared" si="13"/>
        <v>-5000</v>
      </c>
      <c r="K69" s="110">
        <f t="shared" si="14"/>
        <v>0</v>
      </c>
      <c r="L69" s="111"/>
      <c r="M69" s="112"/>
      <c r="N69" s="113"/>
      <c r="O69" s="114"/>
      <c r="P69" s="27"/>
      <c r="Q69" s="27"/>
    </row>
    <row r="70" spans="1:17" ht="30" customHeight="1">
      <c r="A70" s="1"/>
      <c r="B70" s="83"/>
      <c r="C70" s="83"/>
      <c r="D70" s="83" t="s">
        <v>99</v>
      </c>
      <c r="E70" s="83"/>
      <c r="F70" s="115"/>
      <c r="G70" s="116"/>
      <c r="H70" s="117"/>
      <c r="I70" s="118"/>
      <c r="J70" s="119"/>
      <c r="K70" s="87"/>
      <c r="L70" s="120"/>
      <c r="M70" s="121"/>
      <c r="N70" s="122"/>
      <c r="O70" s="123"/>
      <c r="P70" s="10"/>
      <c r="Q70" s="10"/>
    </row>
    <row r="71" spans="1:17" ht="15" customHeight="1">
      <c r="A71" s="1"/>
      <c r="B71" s="83"/>
      <c r="C71" s="83"/>
      <c r="D71" s="83"/>
      <c r="E71" s="83" t="s">
        <v>100</v>
      </c>
      <c r="F71" s="115"/>
      <c r="G71" s="124">
        <v>1500</v>
      </c>
      <c r="H71" s="125">
        <v>1500</v>
      </c>
      <c r="I71" s="126">
        <v>1500</v>
      </c>
      <c r="J71" s="119">
        <f t="shared" ref="J71:J76" si="15">ROUND((F71-G71),5)</f>
        <v>-1500</v>
      </c>
      <c r="K71" s="87">
        <f t="shared" ref="K71:K76" si="16">ROUND(IF(G71=0, IF(F71=0, 0, 1), F71/G71),5)</f>
        <v>0</v>
      </c>
      <c r="L71" s="37" t="s">
        <v>101</v>
      </c>
      <c r="M71" s="121"/>
      <c r="N71" s="122"/>
      <c r="O71" s="123"/>
      <c r="P71" s="10"/>
      <c r="Q71" s="10"/>
    </row>
    <row r="72" spans="1:17" ht="15" customHeight="1">
      <c r="A72" s="1"/>
      <c r="B72" s="83"/>
      <c r="C72" s="83"/>
      <c r="D72" s="83"/>
      <c r="E72" s="83" t="s">
        <v>102</v>
      </c>
      <c r="F72" s="115"/>
      <c r="G72" s="124">
        <v>0</v>
      </c>
      <c r="H72" s="125">
        <v>0</v>
      </c>
      <c r="I72" s="126">
        <v>0</v>
      </c>
      <c r="J72" s="119">
        <f t="shared" si="15"/>
        <v>0</v>
      </c>
      <c r="K72" s="87">
        <f t="shared" si="16"/>
        <v>0</v>
      </c>
      <c r="L72" s="120" t="s">
        <v>103</v>
      </c>
      <c r="M72" s="121"/>
      <c r="N72" s="122"/>
      <c r="O72" s="123"/>
      <c r="P72" s="10"/>
      <c r="Q72" s="10"/>
    </row>
    <row r="73" spans="1:17" ht="15" customHeight="1">
      <c r="A73" s="1"/>
      <c r="B73" s="83"/>
      <c r="C73" s="83"/>
      <c r="D73" s="83"/>
      <c r="E73" s="83" t="s">
        <v>104</v>
      </c>
      <c r="F73" s="115"/>
      <c r="G73" s="124">
        <v>3500</v>
      </c>
      <c r="H73" s="125">
        <f>G73*1.33</f>
        <v>4655</v>
      </c>
      <c r="I73" s="126">
        <f>H73*1.25</f>
        <v>5818.75</v>
      </c>
      <c r="J73" s="119">
        <f t="shared" si="15"/>
        <v>-3500</v>
      </c>
      <c r="K73" s="87">
        <f t="shared" si="16"/>
        <v>0</v>
      </c>
      <c r="L73" s="120" t="s">
        <v>105</v>
      </c>
      <c r="M73" s="121"/>
      <c r="N73" s="122"/>
      <c r="O73" s="123"/>
      <c r="P73" s="10"/>
      <c r="Q73" s="10"/>
    </row>
    <row r="74" spans="1:17" ht="15" customHeight="1">
      <c r="A74" s="1"/>
      <c r="B74" s="83"/>
      <c r="C74" s="83"/>
      <c r="D74" s="83"/>
      <c r="E74" s="83" t="s">
        <v>106</v>
      </c>
      <c r="F74" s="115"/>
      <c r="G74" s="124">
        <v>2000</v>
      </c>
      <c r="H74" s="125">
        <f>G74*1.33</f>
        <v>2660</v>
      </c>
      <c r="I74" s="126">
        <f>H74*1.25</f>
        <v>3325</v>
      </c>
      <c r="J74" s="119">
        <f t="shared" si="15"/>
        <v>-2000</v>
      </c>
      <c r="K74" s="87">
        <f t="shared" si="16"/>
        <v>0</v>
      </c>
      <c r="L74" s="37" t="s">
        <v>107</v>
      </c>
      <c r="M74" s="121"/>
      <c r="N74" s="122"/>
      <c r="O74" s="123"/>
      <c r="P74" s="10"/>
      <c r="Q74" s="10"/>
    </row>
    <row r="75" spans="1:17" ht="15.75" customHeight="1">
      <c r="A75" s="1"/>
      <c r="B75" s="83"/>
      <c r="C75" s="83"/>
      <c r="D75" s="83"/>
      <c r="E75" s="83" t="s">
        <v>108</v>
      </c>
      <c r="F75" s="127"/>
      <c r="G75" s="128">
        <v>1000</v>
      </c>
      <c r="H75" s="129">
        <v>1000</v>
      </c>
      <c r="I75" s="130">
        <v>1000</v>
      </c>
      <c r="J75" s="131">
        <f t="shared" si="15"/>
        <v>-1000</v>
      </c>
      <c r="K75" s="132">
        <f t="shared" si="16"/>
        <v>0</v>
      </c>
      <c r="L75" s="120"/>
      <c r="M75" s="121"/>
      <c r="N75" s="122"/>
      <c r="O75" s="123"/>
      <c r="P75" s="10"/>
      <c r="Q75" s="10"/>
    </row>
    <row r="76" spans="1:17" ht="15" customHeight="1">
      <c r="A76" s="1"/>
      <c r="B76" s="83"/>
      <c r="C76" s="83"/>
      <c r="D76" s="83" t="s">
        <v>109</v>
      </c>
      <c r="E76" s="83"/>
      <c r="F76" s="133">
        <f>ROUND(SUM(F70:F75),5)</f>
        <v>0</v>
      </c>
      <c r="G76" s="134">
        <f>ROUND(SUM(G70:G75),5)</f>
        <v>8000</v>
      </c>
      <c r="H76" s="135">
        <f>ROUND(SUM(H70:H75),5)</f>
        <v>9815</v>
      </c>
      <c r="I76" s="136">
        <f>ROUND(SUM(I70:I75),5)</f>
        <v>11643.75</v>
      </c>
      <c r="J76" s="109">
        <f t="shared" si="15"/>
        <v>-8000</v>
      </c>
      <c r="K76" s="110">
        <f t="shared" si="16"/>
        <v>0</v>
      </c>
      <c r="L76" s="111"/>
      <c r="M76" s="112"/>
      <c r="N76" s="113"/>
      <c r="O76" s="114"/>
      <c r="P76" s="27"/>
      <c r="Q76" s="27"/>
    </row>
    <row r="77" spans="1:17" ht="30" customHeight="1">
      <c r="A77" s="1"/>
      <c r="B77" s="83"/>
      <c r="C77" s="83"/>
      <c r="D77" s="83" t="s">
        <v>110</v>
      </c>
      <c r="E77" s="83"/>
      <c r="F77" s="85"/>
      <c r="G77" s="29"/>
      <c r="H77" s="30"/>
      <c r="I77" s="31"/>
      <c r="J77" s="115"/>
      <c r="K77" s="87"/>
      <c r="L77" s="120"/>
      <c r="M77" s="121"/>
      <c r="N77" s="122"/>
      <c r="O77" s="123"/>
      <c r="P77" s="10"/>
      <c r="Q77" s="10"/>
    </row>
    <row r="78" spans="1:17" ht="15" customHeight="1">
      <c r="A78" s="1"/>
      <c r="B78" s="83"/>
      <c r="C78" s="83"/>
      <c r="D78" s="83"/>
      <c r="E78" s="84" t="s">
        <v>111</v>
      </c>
      <c r="F78" s="85"/>
      <c r="G78" s="44">
        <v>35000</v>
      </c>
      <c r="H78" s="66">
        <v>35000</v>
      </c>
      <c r="I78" s="67">
        <v>35000</v>
      </c>
      <c r="J78" s="115">
        <f t="shared" ref="J78:J89" si="17">ROUND((F78-G78),5)</f>
        <v>-35000</v>
      </c>
      <c r="K78" s="87">
        <f t="shared" ref="K78:K89" si="18">ROUND(IF(G78=0, IF(F78=0, 0, 1), F78/G78),5)</f>
        <v>0</v>
      </c>
      <c r="L78" s="120" t="s">
        <v>112</v>
      </c>
      <c r="M78" s="121"/>
      <c r="N78" s="122"/>
      <c r="O78" s="123"/>
      <c r="P78" s="10"/>
      <c r="Q78" s="10"/>
    </row>
    <row r="79" spans="1:17" ht="15" customHeight="1">
      <c r="A79" s="1"/>
      <c r="B79" s="83"/>
      <c r="C79" s="83"/>
      <c r="D79" s="83"/>
      <c r="E79" s="1" t="s">
        <v>113</v>
      </c>
      <c r="F79" s="28"/>
      <c r="G79" s="44">
        <v>10000</v>
      </c>
      <c r="H79" s="66">
        <v>10000</v>
      </c>
      <c r="I79" s="67">
        <v>10000</v>
      </c>
      <c r="J79" s="137">
        <f t="shared" si="17"/>
        <v>-10000</v>
      </c>
      <c r="K79" s="138">
        <f t="shared" si="18"/>
        <v>0</v>
      </c>
      <c r="L79" s="120" t="s">
        <v>114</v>
      </c>
      <c r="M79" s="139"/>
      <c r="N79" s="122"/>
      <c r="O79" s="123"/>
      <c r="P79" s="10"/>
      <c r="Q79" s="10"/>
    </row>
    <row r="80" spans="1:17" ht="15" customHeight="1">
      <c r="A80" s="1"/>
      <c r="B80" s="83"/>
      <c r="C80" s="83"/>
      <c r="D80" s="83"/>
      <c r="E80" s="83" t="s">
        <v>115</v>
      </c>
      <c r="F80" s="85"/>
      <c r="G80" s="44">
        <v>7500</v>
      </c>
      <c r="H80" s="66">
        <v>7500</v>
      </c>
      <c r="I80" s="67">
        <v>7500</v>
      </c>
      <c r="J80" s="115">
        <f t="shared" si="17"/>
        <v>-7500</v>
      </c>
      <c r="K80" s="87">
        <f t="shared" si="18"/>
        <v>0</v>
      </c>
      <c r="L80" s="120"/>
      <c r="M80" s="121"/>
      <c r="N80" s="122"/>
      <c r="O80" s="123"/>
      <c r="P80" s="10"/>
      <c r="Q80" s="10"/>
    </row>
    <row r="81" spans="1:17" ht="15" customHeight="1">
      <c r="A81" s="1"/>
      <c r="B81" s="1"/>
      <c r="C81" s="1"/>
      <c r="D81" s="1"/>
      <c r="E81" s="1" t="s">
        <v>116</v>
      </c>
      <c r="F81" s="28"/>
      <c r="G81" s="44">
        <v>500</v>
      </c>
      <c r="H81" s="66">
        <v>500</v>
      </c>
      <c r="I81" s="67">
        <v>500</v>
      </c>
      <c r="J81" s="137">
        <f t="shared" si="17"/>
        <v>-500</v>
      </c>
      <c r="K81" s="138">
        <f t="shared" si="18"/>
        <v>0</v>
      </c>
      <c r="L81" s="140"/>
      <c r="M81" s="139"/>
      <c r="N81" s="141"/>
      <c r="O81" s="142"/>
      <c r="P81" s="10"/>
      <c r="Q81" s="10"/>
    </row>
    <row r="82" spans="1:17" ht="15" customHeight="1">
      <c r="A82" s="1"/>
      <c r="B82" s="1"/>
      <c r="C82" s="1"/>
      <c r="D82" s="1"/>
      <c r="E82" s="17" t="s">
        <v>117</v>
      </c>
      <c r="F82" s="28"/>
      <c r="G82" s="44">
        <v>750</v>
      </c>
      <c r="H82" s="66">
        <v>750</v>
      </c>
      <c r="I82" s="67">
        <v>750</v>
      </c>
      <c r="J82" s="28">
        <f t="shared" si="17"/>
        <v>-750</v>
      </c>
      <c r="K82" s="32">
        <f t="shared" si="18"/>
        <v>0</v>
      </c>
      <c r="L82" s="7"/>
      <c r="M82" s="9"/>
      <c r="N82" s="64"/>
      <c r="O82" s="65"/>
      <c r="P82" s="10"/>
      <c r="Q82" s="10"/>
    </row>
    <row r="83" spans="1:17" ht="15" customHeight="1">
      <c r="A83" s="1"/>
      <c r="B83" s="1"/>
      <c r="C83" s="1"/>
      <c r="D83" s="1"/>
      <c r="E83" s="17" t="s">
        <v>118</v>
      </c>
      <c r="F83" s="28"/>
      <c r="G83" s="44">
        <v>5000</v>
      </c>
      <c r="H83" s="66">
        <v>5000</v>
      </c>
      <c r="I83" s="67">
        <v>5000</v>
      </c>
      <c r="J83" s="28">
        <f t="shared" si="17"/>
        <v>-5000</v>
      </c>
      <c r="K83" s="32">
        <f t="shared" si="18"/>
        <v>0</v>
      </c>
      <c r="L83" s="7"/>
      <c r="M83" s="9"/>
      <c r="N83" s="64"/>
      <c r="O83" s="65"/>
      <c r="P83" s="10"/>
      <c r="Q83" s="10"/>
    </row>
    <row r="84" spans="1:17" ht="15" customHeight="1">
      <c r="A84" s="1"/>
      <c r="B84" s="1"/>
      <c r="C84" s="1"/>
      <c r="D84" s="1"/>
      <c r="E84" s="17" t="s">
        <v>119</v>
      </c>
      <c r="F84" s="28"/>
      <c r="G84" s="44">
        <v>2000</v>
      </c>
      <c r="H84" s="66">
        <v>2000</v>
      </c>
      <c r="I84" s="67">
        <v>2000</v>
      </c>
      <c r="J84" s="28">
        <f t="shared" si="17"/>
        <v>-2000</v>
      </c>
      <c r="K84" s="32">
        <f t="shared" si="18"/>
        <v>0</v>
      </c>
      <c r="L84" s="7"/>
      <c r="M84" s="9"/>
      <c r="N84" s="64"/>
      <c r="O84" s="65"/>
      <c r="P84" s="10"/>
      <c r="Q84" s="10"/>
    </row>
    <row r="85" spans="1:17" ht="15" customHeight="1">
      <c r="A85" s="1"/>
      <c r="B85" s="1"/>
      <c r="C85" s="1"/>
      <c r="D85" s="1"/>
      <c r="E85" s="1" t="s">
        <v>120</v>
      </c>
      <c r="F85" s="28"/>
      <c r="G85" s="44">
        <v>3000</v>
      </c>
      <c r="H85" s="66">
        <f>G85*1.33</f>
        <v>3990</v>
      </c>
      <c r="I85" s="67">
        <f>H85*1.25</f>
        <v>4987.5</v>
      </c>
      <c r="J85" s="28">
        <f t="shared" si="17"/>
        <v>-3000</v>
      </c>
      <c r="K85" s="32">
        <f t="shared" si="18"/>
        <v>0</v>
      </c>
      <c r="L85" s="7"/>
      <c r="M85" s="9"/>
      <c r="N85" s="64"/>
      <c r="O85" s="65"/>
      <c r="P85" s="10"/>
      <c r="Q85" s="10"/>
    </row>
    <row r="86" spans="1:17" ht="15" customHeight="1">
      <c r="A86" s="1"/>
      <c r="B86" s="1"/>
      <c r="C86" s="1"/>
      <c r="D86" s="1"/>
      <c r="E86" s="1" t="s">
        <v>121</v>
      </c>
      <c r="F86" s="28"/>
      <c r="G86" s="44">
        <v>1500</v>
      </c>
      <c r="H86" s="66">
        <v>2000</v>
      </c>
      <c r="I86" s="67">
        <v>2500</v>
      </c>
      <c r="J86" s="28">
        <f t="shared" si="17"/>
        <v>-1500</v>
      </c>
      <c r="K86" s="32">
        <f t="shared" si="18"/>
        <v>0</v>
      </c>
      <c r="L86" s="7"/>
      <c r="M86" s="9"/>
      <c r="N86" s="64"/>
      <c r="O86" s="65"/>
      <c r="P86" s="10"/>
      <c r="Q86" s="10"/>
    </row>
    <row r="87" spans="1:17" ht="15" customHeight="1">
      <c r="A87" s="1"/>
      <c r="B87" s="1"/>
      <c r="C87" s="1"/>
      <c r="D87" s="1"/>
      <c r="E87" s="1" t="s">
        <v>122</v>
      </c>
      <c r="F87" s="28"/>
      <c r="G87" s="44">
        <v>3000</v>
      </c>
      <c r="H87" s="66">
        <v>3000</v>
      </c>
      <c r="I87" s="67">
        <v>3000</v>
      </c>
      <c r="J87" s="28">
        <f t="shared" si="17"/>
        <v>-3000</v>
      </c>
      <c r="K87" s="32">
        <f t="shared" si="18"/>
        <v>0</v>
      </c>
      <c r="L87" s="7"/>
      <c r="M87" s="9"/>
      <c r="N87" s="64"/>
      <c r="O87" s="65"/>
      <c r="P87" s="10"/>
      <c r="Q87" s="10"/>
    </row>
    <row r="88" spans="1:17" ht="15.75" customHeight="1">
      <c r="A88" s="1"/>
      <c r="B88" s="1"/>
      <c r="C88" s="1"/>
      <c r="D88" s="1"/>
      <c r="E88" s="1" t="s">
        <v>123</v>
      </c>
      <c r="F88" s="45"/>
      <c r="G88" s="94">
        <v>1000</v>
      </c>
      <c r="H88" s="95">
        <v>1000</v>
      </c>
      <c r="I88" s="96">
        <v>1000</v>
      </c>
      <c r="J88" s="45">
        <f t="shared" si="17"/>
        <v>-1000</v>
      </c>
      <c r="K88" s="49">
        <f t="shared" si="18"/>
        <v>0</v>
      </c>
      <c r="L88" s="7"/>
      <c r="M88" s="9"/>
      <c r="N88" s="64"/>
      <c r="O88" s="65"/>
      <c r="P88" s="10"/>
      <c r="Q88" s="10"/>
    </row>
    <row r="89" spans="1:17" ht="15" customHeight="1">
      <c r="A89" s="83"/>
      <c r="B89" s="83"/>
      <c r="C89" s="83"/>
      <c r="D89" s="83" t="s">
        <v>124</v>
      </c>
      <c r="E89" s="83"/>
      <c r="F89" s="105">
        <f>ROUND(SUM(F77:F88),5)</f>
        <v>0</v>
      </c>
      <c r="G89" s="106">
        <f>ROUND(SUM(G77:G88),5)</f>
        <v>69250</v>
      </c>
      <c r="H89" s="107">
        <f>ROUND(SUM(H77:H88),5)</f>
        <v>70740</v>
      </c>
      <c r="I89" s="108">
        <f>ROUND(SUM(I77:I88),5)</f>
        <v>72237.5</v>
      </c>
      <c r="J89" s="109">
        <f t="shared" si="17"/>
        <v>-69250</v>
      </c>
      <c r="K89" s="110">
        <f t="shared" si="18"/>
        <v>0</v>
      </c>
      <c r="L89" s="111"/>
      <c r="M89" s="80"/>
      <c r="N89" s="81"/>
      <c r="O89" s="82"/>
      <c r="P89" s="27"/>
      <c r="Q89" s="27"/>
    </row>
    <row r="90" spans="1:17" ht="30" customHeight="1">
      <c r="A90" s="83"/>
      <c r="B90" s="83"/>
      <c r="C90" s="83"/>
      <c r="D90" s="83" t="s">
        <v>125</v>
      </c>
      <c r="E90" s="83"/>
      <c r="F90" s="115"/>
      <c r="G90" s="116"/>
      <c r="H90" s="117"/>
      <c r="I90" s="118"/>
      <c r="J90" s="119"/>
      <c r="K90" s="87"/>
      <c r="L90" s="120"/>
      <c r="M90" s="9"/>
      <c r="N90" s="64"/>
      <c r="O90" s="65"/>
      <c r="P90" s="10"/>
      <c r="Q90" s="10"/>
    </row>
    <row r="91" spans="1:17" ht="15" customHeight="1">
      <c r="A91" s="83"/>
      <c r="B91" s="83"/>
      <c r="C91" s="83"/>
      <c r="D91" s="83"/>
      <c r="E91" s="83" t="s">
        <v>126</v>
      </c>
      <c r="F91" s="115"/>
      <c r="G91" s="124">
        <v>0</v>
      </c>
      <c r="H91" s="125">
        <v>0</v>
      </c>
      <c r="I91" s="126">
        <v>0</v>
      </c>
      <c r="J91" s="119">
        <f>ROUND((F91-G91),5)</f>
        <v>0</v>
      </c>
      <c r="K91" s="87">
        <f>ROUND(IF(G91=0, IF(F91=0, 0, 1), F91/G91),5)</f>
        <v>0</v>
      </c>
      <c r="L91" s="37" t="s">
        <v>127</v>
      </c>
      <c r="M91" s="9"/>
      <c r="N91" s="64"/>
      <c r="O91" s="65"/>
      <c r="P91" s="10"/>
      <c r="Q91" s="10"/>
    </row>
    <row r="92" spans="1:17" ht="15" customHeight="1">
      <c r="A92" s="83"/>
      <c r="B92" s="83"/>
      <c r="C92" s="83"/>
      <c r="D92" s="83"/>
      <c r="E92" s="83" t="s">
        <v>128</v>
      </c>
      <c r="F92" s="115"/>
      <c r="G92" s="124">
        <f>$L92*M92</f>
        <v>3150</v>
      </c>
      <c r="H92" s="125">
        <f>$L92*N92</f>
        <v>4200</v>
      </c>
      <c r="I92" s="126">
        <f>$L92*O92</f>
        <v>5250</v>
      </c>
      <c r="J92" s="119">
        <f>ROUND((F92-G92),5)</f>
        <v>-3150</v>
      </c>
      <c r="K92" s="87">
        <f>ROUND(IF(G92=0, IF(F92=0, 0, 1), F92/G92),5)</f>
        <v>0</v>
      </c>
      <c r="L92" s="37">
        <v>35</v>
      </c>
      <c r="M92" s="42">
        <v>90</v>
      </c>
      <c r="N92" s="39">
        <v>120</v>
      </c>
      <c r="O92" s="40">
        <v>150</v>
      </c>
      <c r="P92" s="10"/>
      <c r="Q92" s="10"/>
    </row>
    <row r="93" spans="1:17" ht="15" customHeight="1">
      <c r="A93" s="83"/>
      <c r="B93" s="83"/>
      <c r="C93" s="83"/>
      <c r="D93" s="83"/>
      <c r="E93" s="84" t="s">
        <v>129</v>
      </c>
      <c r="F93" s="127"/>
      <c r="G93" s="128">
        <v>3000</v>
      </c>
      <c r="H93" s="129">
        <v>3000</v>
      </c>
      <c r="I93" s="130">
        <v>3000</v>
      </c>
      <c r="J93" s="131">
        <f>ROUND((F93-G93),5)</f>
        <v>-3000</v>
      </c>
      <c r="K93" s="132">
        <f>ROUND(IF(G93=0, IF(F93=0, 0, 1), F93/G93),5)</f>
        <v>0</v>
      </c>
      <c r="L93" s="120"/>
      <c r="M93" s="9"/>
      <c r="N93" s="64"/>
      <c r="O93" s="65"/>
      <c r="P93" s="10"/>
      <c r="Q93" s="10"/>
    </row>
    <row r="94" spans="1:17" ht="15" customHeight="1">
      <c r="A94" s="83"/>
      <c r="B94" s="83"/>
      <c r="C94" s="83"/>
      <c r="D94" s="84" t="s">
        <v>130</v>
      </c>
      <c r="E94" s="83"/>
      <c r="F94" s="143">
        <f>ROUND(SUM(F90:F93),5)</f>
        <v>0</v>
      </c>
      <c r="G94" s="144">
        <f>ROUND(SUM(G90:G93),5)</f>
        <v>6150</v>
      </c>
      <c r="H94" s="145">
        <f>ROUND(SUM(H90:H93),5)</f>
        <v>7200</v>
      </c>
      <c r="I94" s="146">
        <f>ROUND(SUM(I90:I93),5)</f>
        <v>8250</v>
      </c>
      <c r="J94" s="147">
        <f>ROUND((F94-G94),5)</f>
        <v>-6150</v>
      </c>
      <c r="K94" s="148">
        <f>ROUND(IF(G94=0, IF(F94=0, 0, 1), F94/G94),5)</f>
        <v>0</v>
      </c>
      <c r="L94" s="111"/>
      <c r="M94" s="80"/>
      <c r="N94" s="81"/>
      <c r="O94" s="82"/>
      <c r="P94" s="27"/>
      <c r="Q94" s="27"/>
    </row>
    <row r="95" spans="1:17" ht="30" customHeight="1">
      <c r="A95" s="83"/>
      <c r="B95" s="83"/>
      <c r="C95" s="83"/>
      <c r="D95" s="84" t="s">
        <v>131</v>
      </c>
      <c r="E95" s="83"/>
      <c r="F95" s="115"/>
      <c r="G95" s="116"/>
      <c r="H95" s="117"/>
      <c r="I95" s="118"/>
      <c r="J95" s="119"/>
      <c r="K95" s="87"/>
      <c r="L95" s="120"/>
      <c r="M95" s="9"/>
      <c r="N95" s="64"/>
      <c r="O95" s="65"/>
      <c r="P95" s="10"/>
      <c r="Q95" s="10"/>
    </row>
    <row r="96" spans="1:17" ht="15" customHeight="1">
      <c r="A96" s="83"/>
      <c r="B96" s="83"/>
      <c r="C96" s="83"/>
      <c r="D96" s="83"/>
      <c r="E96" s="84" t="s">
        <v>132</v>
      </c>
      <c r="F96" s="115"/>
      <c r="G96" s="124">
        <v>10000</v>
      </c>
      <c r="H96" s="125">
        <v>10000</v>
      </c>
      <c r="I96" s="126">
        <v>10000</v>
      </c>
      <c r="J96" s="119">
        <f t="shared" ref="J96:J101" si="19">ROUND((F96-G96),5)</f>
        <v>-10000</v>
      </c>
      <c r="K96" s="87">
        <f t="shared" ref="K96:K101" si="20">ROUND(IF(G96=0, IF(F96=0, 0, 1), F96/G96),5)</f>
        <v>0</v>
      </c>
      <c r="L96" s="37" t="s">
        <v>133</v>
      </c>
      <c r="M96" s="9"/>
      <c r="N96" s="64"/>
      <c r="O96" s="65"/>
      <c r="P96" s="10"/>
      <c r="Q96" s="10"/>
    </row>
    <row r="97" spans="1:17" ht="15" customHeight="1">
      <c r="A97" s="83"/>
      <c r="B97" s="83"/>
      <c r="C97" s="83"/>
      <c r="D97" s="83"/>
      <c r="E97" s="84" t="s">
        <v>134</v>
      </c>
      <c r="F97" s="115"/>
      <c r="G97" s="124">
        <v>5000</v>
      </c>
      <c r="H97" s="125">
        <v>5000</v>
      </c>
      <c r="I97" s="126">
        <v>5000</v>
      </c>
      <c r="J97" s="119">
        <f t="shared" si="19"/>
        <v>-5000</v>
      </c>
      <c r="K97" s="87">
        <f t="shared" si="20"/>
        <v>0</v>
      </c>
      <c r="L97" s="37" t="s">
        <v>135</v>
      </c>
      <c r="M97" s="9"/>
      <c r="N97" s="64"/>
      <c r="O97" s="65"/>
      <c r="P97" s="10"/>
      <c r="Q97" s="10"/>
    </row>
    <row r="98" spans="1:17" ht="15" customHeight="1">
      <c r="A98" s="83"/>
      <c r="B98" s="83"/>
      <c r="C98" s="83"/>
      <c r="D98" s="83"/>
      <c r="E98" s="84" t="s">
        <v>136</v>
      </c>
      <c r="F98" s="115"/>
      <c r="G98" s="124">
        <v>5000</v>
      </c>
      <c r="H98" s="125">
        <v>5000</v>
      </c>
      <c r="I98" s="126">
        <v>5000</v>
      </c>
      <c r="J98" s="119">
        <f t="shared" si="19"/>
        <v>-5000</v>
      </c>
      <c r="K98" s="87">
        <f t="shared" si="20"/>
        <v>0</v>
      </c>
      <c r="L98" s="37" t="s">
        <v>137</v>
      </c>
      <c r="M98" s="9"/>
      <c r="N98" s="64"/>
      <c r="O98" s="65"/>
      <c r="P98" s="10"/>
      <c r="Q98" s="10"/>
    </row>
    <row r="99" spans="1:17" ht="15" customHeight="1">
      <c r="A99" s="83"/>
      <c r="B99" s="83"/>
      <c r="C99" s="83"/>
      <c r="D99" s="83"/>
      <c r="E99" s="84" t="s">
        <v>138</v>
      </c>
      <c r="F99" s="115"/>
      <c r="G99" s="124">
        <f>L99*M99</f>
        <v>48160</v>
      </c>
      <c r="H99" s="125">
        <f>L99*N99</f>
        <v>64400</v>
      </c>
      <c r="I99" s="126">
        <f>L99*O99</f>
        <v>80640</v>
      </c>
      <c r="J99" s="119">
        <f t="shared" si="19"/>
        <v>-48160</v>
      </c>
      <c r="K99" s="87">
        <f t="shared" si="20"/>
        <v>0</v>
      </c>
      <c r="L99" s="37">
        <v>56</v>
      </c>
      <c r="M99" s="42">
        <f>(900*0.9) + 50</f>
        <v>860</v>
      </c>
      <c r="N99" s="39">
        <f>(1200*0.9) + 70</f>
        <v>1150</v>
      </c>
      <c r="O99" s="40">
        <f>(1500*0.9) + 90</f>
        <v>1440</v>
      </c>
      <c r="P99" s="10"/>
      <c r="Q99" s="10"/>
    </row>
    <row r="100" spans="1:17" ht="15.75" customHeight="1">
      <c r="A100" s="83"/>
      <c r="B100" s="83"/>
      <c r="C100" s="83"/>
      <c r="D100" s="83"/>
      <c r="E100" s="84" t="s">
        <v>139</v>
      </c>
      <c r="F100" s="149"/>
      <c r="G100" s="94">
        <v>12000</v>
      </c>
      <c r="H100" s="95">
        <v>12000</v>
      </c>
      <c r="I100" s="96">
        <v>12000</v>
      </c>
      <c r="J100" s="150">
        <f t="shared" si="19"/>
        <v>-12000</v>
      </c>
      <c r="K100" s="151">
        <f t="shared" si="20"/>
        <v>0</v>
      </c>
      <c r="L100" s="120"/>
      <c r="M100" s="9"/>
      <c r="N100" s="64"/>
      <c r="O100" s="65"/>
      <c r="P100" s="10"/>
      <c r="Q100" s="10"/>
    </row>
    <row r="101" spans="1:17" ht="15" customHeight="1">
      <c r="A101" s="83"/>
      <c r="B101" s="83"/>
      <c r="C101" s="83"/>
      <c r="D101" s="84" t="s">
        <v>140</v>
      </c>
      <c r="E101" s="83"/>
      <c r="F101" s="152">
        <f>ROUND(SUM(F95:F100),5)</f>
        <v>0</v>
      </c>
      <c r="G101" s="77">
        <f>ROUND(SUM(G95:G100),5)</f>
        <v>80160</v>
      </c>
      <c r="H101" s="78">
        <f>ROUND(SUM(H95:H100),5)</f>
        <v>96400</v>
      </c>
      <c r="I101" s="79">
        <f>ROUND(SUM(I95:I100),5)</f>
        <v>112640</v>
      </c>
      <c r="J101" s="153">
        <f t="shared" si="19"/>
        <v>-80160</v>
      </c>
      <c r="K101" s="154">
        <f t="shared" si="20"/>
        <v>0</v>
      </c>
      <c r="L101" s="155"/>
      <c r="M101" s="80"/>
      <c r="N101" s="81"/>
      <c r="O101" s="82"/>
      <c r="P101" s="27"/>
      <c r="Q101" s="27"/>
    </row>
    <row r="102" spans="1:17" ht="30" customHeight="1">
      <c r="A102" s="83"/>
      <c r="B102" s="83"/>
      <c r="C102" s="83"/>
      <c r="D102" s="84" t="s">
        <v>141</v>
      </c>
      <c r="E102" s="83"/>
      <c r="F102" s="115"/>
      <c r="G102" s="116"/>
      <c r="H102" s="117"/>
      <c r="I102" s="118"/>
      <c r="J102" s="119"/>
      <c r="K102" s="87"/>
      <c r="L102" s="120"/>
      <c r="M102" s="9"/>
      <c r="N102" s="64"/>
      <c r="O102" s="65"/>
      <c r="P102" s="10"/>
      <c r="Q102" s="10"/>
    </row>
    <row r="103" spans="1:17" ht="15" customHeight="1">
      <c r="A103" s="83"/>
      <c r="B103" s="83"/>
      <c r="C103" s="83"/>
      <c r="D103" s="83"/>
      <c r="E103" s="83" t="s">
        <v>142</v>
      </c>
      <c r="F103" s="115"/>
      <c r="G103" s="124">
        <f t="shared" ref="G103:I104" si="21">$L103*M103</f>
        <v>11250</v>
      </c>
      <c r="H103" s="125">
        <f t="shared" si="21"/>
        <v>15000</v>
      </c>
      <c r="I103" s="126">
        <f t="shared" si="21"/>
        <v>18750</v>
      </c>
      <c r="J103" s="119">
        <f t="shared" ref="J103:J108" si="22">ROUND((F103-G103),5)</f>
        <v>-11250</v>
      </c>
      <c r="K103" s="87">
        <f t="shared" ref="K103:K108" si="23">ROUND(IF(G103=0, IF(F103=0, 0, 1), F103/G103),5)</f>
        <v>0</v>
      </c>
      <c r="L103" s="37">
        <v>25</v>
      </c>
      <c r="M103" s="42">
        <v>450</v>
      </c>
      <c r="N103" s="39">
        <v>600</v>
      </c>
      <c r="O103" s="40">
        <v>750</v>
      </c>
      <c r="P103" s="10"/>
      <c r="Q103" s="10"/>
    </row>
    <row r="104" spans="1:17" ht="15" customHeight="1">
      <c r="A104" s="83"/>
      <c r="B104" s="83"/>
      <c r="C104" s="83"/>
      <c r="D104" s="83"/>
      <c r="E104" s="84" t="s">
        <v>143</v>
      </c>
      <c r="F104" s="115"/>
      <c r="G104" s="124">
        <f t="shared" si="21"/>
        <v>40500</v>
      </c>
      <c r="H104" s="125">
        <f t="shared" si="21"/>
        <v>54000</v>
      </c>
      <c r="I104" s="126">
        <f t="shared" si="21"/>
        <v>67500</v>
      </c>
      <c r="J104" s="119">
        <f t="shared" si="22"/>
        <v>-40500</v>
      </c>
      <c r="K104" s="87">
        <f t="shared" si="23"/>
        <v>0</v>
      </c>
      <c r="L104" s="37">
        <v>50</v>
      </c>
      <c r="M104" s="156">
        <f>900*0.9</f>
        <v>810</v>
      </c>
      <c r="N104" s="39">
        <f>1200*0.9</f>
        <v>1080</v>
      </c>
      <c r="O104" s="157">
        <f>1500*0.9</f>
        <v>1350</v>
      </c>
      <c r="P104" s="10"/>
      <c r="Q104" s="10"/>
    </row>
    <row r="105" spans="1:17" ht="15" customHeight="1">
      <c r="A105" s="83"/>
      <c r="B105" s="83"/>
      <c r="C105" s="83"/>
      <c r="D105" s="83"/>
      <c r="E105" s="84" t="s">
        <v>144</v>
      </c>
      <c r="F105" s="115"/>
      <c r="G105" s="124">
        <v>2000</v>
      </c>
      <c r="H105" s="125">
        <v>2000</v>
      </c>
      <c r="I105" s="126">
        <v>2000</v>
      </c>
      <c r="J105" s="119">
        <f t="shared" si="22"/>
        <v>-2000</v>
      </c>
      <c r="K105" s="87">
        <f t="shared" si="23"/>
        <v>0</v>
      </c>
      <c r="L105" s="120"/>
      <c r="M105" s="9"/>
      <c r="N105" s="64"/>
      <c r="O105" s="65"/>
      <c r="P105" s="10"/>
      <c r="Q105" s="10"/>
    </row>
    <row r="106" spans="1:17" ht="15" customHeight="1">
      <c r="A106" s="83"/>
      <c r="B106" s="83"/>
      <c r="C106" s="83"/>
      <c r="D106" s="83"/>
      <c r="E106" s="84" t="s">
        <v>145</v>
      </c>
      <c r="F106" s="115"/>
      <c r="G106" s="124">
        <v>5000</v>
      </c>
      <c r="H106" s="125">
        <v>5000</v>
      </c>
      <c r="I106" s="126">
        <v>5000</v>
      </c>
      <c r="J106" s="119">
        <f t="shared" si="22"/>
        <v>-5000</v>
      </c>
      <c r="K106" s="87">
        <f t="shared" si="23"/>
        <v>0</v>
      </c>
      <c r="L106" s="37" t="s">
        <v>146</v>
      </c>
      <c r="M106" s="9"/>
      <c r="N106" s="64"/>
      <c r="O106" s="65"/>
      <c r="P106" s="10"/>
      <c r="Q106" s="10"/>
    </row>
    <row r="107" spans="1:17" ht="15.75" customHeight="1">
      <c r="A107" s="83"/>
      <c r="B107" s="83"/>
      <c r="C107" s="83"/>
      <c r="D107" s="83"/>
      <c r="E107" s="84" t="s">
        <v>147</v>
      </c>
      <c r="F107" s="158"/>
      <c r="G107" s="159">
        <v>2500</v>
      </c>
      <c r="H107" s="160">
        <v>2500</v>
      </c>
      <c r="I107" s="161">
        <v>2500</v>
      </c>
      <c r="J107" s="162">
        <f t="shared" si="22"/>
        <v>-2500</v>
      </c>
      <c r="K107" s="163">
        <f t="shared" si="23"/>
        <v>0</v>
      </c>
      <c r="L107" s="120"/>
      <c r="M107" s="9"/>
      <c r="N107" s="64"/>
      <c r="O107" s="65"/>
      <c r="P107" s="10"/>
      <c r="Q107" s="10"/>
    </row>
    <row r="108" spans="1:17" ht="15" customHeight="1">
      <c r="A108" s="83"/>
      <c r="B108" s="83"/>
      <c r="C108" s="83"/>
      <c r="D108" s="84" t="s">
        <v>148</v>
      </c>
      <c r="E108" s="83"/>
      <c r="F108" s="164">
        <f>ROUND(SUM(F102:F107),5)</f>
        <v>0</v>
      </c>
      <c r="G108" s="165">
        <f>ROUND(SUM(G102:G107),5)</f>
        <v>61250</v>
      </c>
      <c r="H108" s="166">
        <f>ROUND(SUM(H102:H107),5)</f>
        <v>78500</v>
      </c>
      <c r="I108" s="167">
        <f>ROUND(SUM(I102:I107),5)</f>
        <v>95750</v>
      </c>
      <c r="J108" s="168">
        <f t="shared" si="22"/>
        <v>-61250</v>
      </c>
      <c r="K108" s="169">
        <f t="shared" si="23"/>
        <v>0</v>
      </c>
      <c r="L108" s="111"/>
      <c r="M108" s="80"/>
      <c r="N108" s="81"/>
      <c r="O108" s="82"/>
      <c r="P108" s="27"/>
      <c r="Q108" s="27"/>
    </row>
    <row r="109" spans="1:17" ht="30" customHeight="1">
      <c r="A109" s="83"/>
      <c r="B109" s="83"/>
      <c r="C109" s="83"/>
      <c r="D109" s="84" t="s">
        <v>149</v>
      </c>
      <c r="E109" s="83"/>
      <c r="F109" s="85"/>
      <c r="G109" s="29"/>
      <c r="H109" s="30"/>
      <c r="I109" s="31"/>
      <c r="J109" s="85"/>
      <c r="K109" s="170"/>
      <c r="L109" s="171"/>
      <c r="M109" s="9"/>
      <c r="N109" s="64"/>
      <c r="O109" s="65"/>
      <c r="P109" s="10"/>
      <c r="Q109" s="10"/>
    </row>
    <row r="110" spans="1:17" ht="15" customHeight="1">
      <c r="A110" s="83"/>
      <c r="B110" s="83"/>
      <c r="C110" s="83"/>
      <c r="D110" s="83"/>
      <c r="E110" s="83" t="s">
        <v>150</v>
      </c>
      <c r="F110" s="85"/>
      <c r="G110" s="44">
        <f t="shared" ref="G110:I111" si="24">$L110*M110</f>
        <v>13500</v>
      </c>
      <c r="H110" s="66">
        <f t="shared" si="24"/>
        <v>18000</v>
      </c>
      <c r="I110" s="67">
        <f t="shared" si="24"/>
        <v>22500</v>
      </c>
      <c r="J110" s="85">
        <f t="shared" ref="J110:J115" si="25">ROUND((F110-G110),5)</f>
        <v>-13500</v>
      </c>
      <c r="K110" s="170">
        <f t="shared" ref="K110:K115" si="26">ROUND(IF(G110=0, IF(F110=0, 0, 1), F110/G110),5)</f>
        <v>0</v>
      </c>
      <c r="L110" s="172">
        <v>25</v>
      </c>
      <c r="M110" s="42">
        <f>900*0.6</f>
        <v>540</v>
      </c>
      <c r="N110" s="39">
        <f>1200*0.6</f>
        <v>720</v>
      </c>
      <c r="O110" s="40">
        <f>1500*0.6</f>
        <v>900</v>
      </c>
      <c r="P110" s="10"/>
      <c r="Q110" s="10"/>
    </row>
    <row r="111" spans="1:17" ht="15" customHeight="1">
      <c r="A111" s="1"/>
      <c r="B111" s="1"/>
      <c r="C111" s="1"/>
      <c r="D111" s="1"/>
      <c r="E111" s="17" t="s">
        <v>151</v>
      </c>
      <c r="F111" s="28"/>
      <c r="G111" s="44">
        <f t="shared" si="24"/>
        <v>40500</v>
      </c>
      <c r="H111" s="66">
        <f t="shared" si="24"/>
        <v>54000</v>
      </c>
      <c r="I111" s="67">
        <f t="shared" si="24"/>
        <v>67500</v>
      </c>
      <c r="J111" s="28">
        <f t="shared" si="25"/>
        <v>-40500</v>
      </c>
      <c r="K111" s="32">
        <f t="shared" si="26"/>
        <v>0</v>
      </c>
      <c r="L111" s="173">
        <v>50</v>
      </c>
      <c r="M111" s="156">
        <f>900*0.9</f>
        <v>810</v>
      </c>
      <c r="N111" s="39">
        <f>1200*0.9</f>
        <v>1080</v>
      </c>
      <c r="O111" s="157">
        <f>1500*0.9</f>
        <v>1350</v>
      </c>
      <c r="P111" s="10"/>
      <c r="Q111" s="10"/>
    </row>
    <row r="112" spans="1:17" ht="15" customHeight="1">
      <c r="A112" s="1"/>
      <c r="B112" s="1"/>
      <c r="C112" s="1"/>
      <c r="D112" s="1"/>
      <c r="E112" s="1" t="s">
        <v>152</v>
      </c>
      <c r="F112" s="28"/>
      <c r="G112" s="44">
        <v>15000</v>
      </c>
      <c r="H112" s="66">
        <f>G112*1.33</f>
        <v>19950</v>
      </c>
      <c r="I112" s="67">
        <f>H112*1.25</f>
        <v>24937.5</v>
      </c>
      <c r="J112" s="28">
        <f t="shared" si="25"/>
        <v>-15000</v>
      </c>
      <c r="K112" s="32">
        <f t="shared" si="26"/>
        <v>0</v>
      </c>
      <c r="L112" s="7" t="s">
        <v>153</v>
      </c>
      <c r="M112" s="9"/>
      <c r="N112" s="64"/>
      <c r="O112" s="65"/>
      <c r="P112" s="10"/>
      <c r="Q112" s="10"/>
    </row>
    <row r="113" spans="1:17" ht="15" customHeight="1">
      <c r="A113" s="1"/>
      <c r="B113" s="1"/>
      <c r="C113" s="1"/>
      <c r="D113" s="1"/>
      <c r="E113" s="17" t="s">
        <v>154</v>
      </c>
      <c r="F113" s="28"/>
      <c r="G113" s="44">
        <v>5000</v>
      </c>
      <c r="H113" s="66">
        <f>G113*1.33</f>
        <v>6650</v>
      </c>
      <c r="I113" s="67">
        <f>H113*1.25</f>
        <v>8312.5</v>
      </c>
      <c r="J113" s="28">
        <f t="shared" si="25"/>
        <v>-5000</v>
      </c>
      <c r="K113" s="32">
        <f t="shared" si="26"/>
        <v>0</v>
      </c>
      <c r="L113" s="7"/>
      <c r="M113" s="9"/>
      <c r="N113" s="64"/>
      <c r="O113" s="65"/>
      <c r="P113" s="10"/>
      <c r="Q113" s="10"/>
    </row>
    <row r="114" spans="1:17" ht="15.75" customHeight="1">
      <c r="A114" s="1"/>
      <c r="B114" s="1"/>
      <c r="C114" s="1"/>
      <c r="D114" s="1"/>
      <c r="E114" s="17" t="s">
        <v>155</v>
      </c>
      <c r="F114" s="45"/>
      <c r="G114" s="94">
        <v>2500</v>
      </c>
      <c r="H114" s="95">
        <v>2500</v>
      </c>
      <c r="I114" s="96">
        <v>2500</v>
      </c>
      <c r="J114" s="45">
        <f t="shared" si="25"/>
        <v>-2500</v>
      </c>
      <c r="K114" s="49">
        <f t="shared" si="26"/>
        <v>0</v>
      </c>
      <c r="L114" s="140"/>
      <c r="M114" s="139"/>
      <c r="N114" s="64"/>
      <c r="O114" s="65"/>
      <c r="P114" s="10"/>
      <c r="Q114" s="10"/>
    </row>
    <row r="115" spans="1:17" ht="15" customHeight="1">
      <c r="A115" s="1"/>
      <c r="B115" s="83"/>
      <c r="C115" s="83"/>
      <c r="D115" s="84" t="s">
        <v>156</v>
      </c>
      <c r="E115" s="83"/>
      <c r="F115" s="174">
        <f>ROUND(SUM(F109:F114),5)</f>
        <v>0</v>
      </c>
      <c r="G115" s="175">
        <f>ROUND(SUM(G109:G114),5)</f>
        <v>76500</v>
      </c>
      <c r="H115" s="176">
        <f>ROUND(SUM(H109:H114),5)</f>
        <v>101100</v>
      </c>
      <c r="I115" s="177">
        <f>ROUND(SUM(I109:I114),5)</f>
        <v>125750</v>
      </c>
      <c r="J115" s="178">
        <f t="shared" si="25"/>
        <v>-76500</v>
      </c>
      <c r="K115" s="179">
        <f t="shared" si="26"/>
        <v>0</v>
      </c>
      <c r="L115" s="111"/>
      <c r="M115" s="112"/>
      <c r="N115" s="81"/>
      <c r="O115" s="82"/>
      <c r="P115" s="27"/>
      <c r="Q115" s="27"/>
    </row>
    <row r="116" spans="1:17" ht="30" customHeight="1">
      <c r="A116" s="1"/>
      <c r="B116" s="83"/>
      <c r="C116" s="83"/>
      <c r="D116" s="84" t="s">
        <v>157</v>
      </c>
      <c r="E116" s="83"/>
      <c r="F116" s="115"/>
      <c r="G116" s="116"/>
      <c r="H116" s="117"/>
      <c r="I116" s="118"/>
      <c r="J116" s="119"/>
      <c r="K116" s="87"/>
      <c r="L116" s="120"/>
      <c r="M116" s="121"/>
      <c r="N116" s="64"/>
      <c r="O116" s="65"/>
      <c r="P116" s="10"/>
      <c r="Q116" s="10"/>
    </row>
    <row r="117" spans="1:17" ht="15" customHeight="1">
      <c r="A117" s="1"/>
      <c r="B117" s="83"/>
      <c r="C117" s="83"/>
      <c r="D117" s="83"/>
      <c r="E117" s="83" t="s">
        <v>158</v>
      </c>
      <c r="F117" s="115"/>
      <c r="G117" s="124">
        <f t="shared" ref="G117:I118" si="27">$L117*M117</f>
        <v>7500</v>
      </c>
      <c r="H117" s="125">
        <f t="shared" si="27"/>
        <v>10000</v>
      </c>
      <c r="I117" s="126">
        <f t="shared" si="27"/>
        <v>12500</v>
      </c>
      <c r="J117" s="119">
        <f>ROUND((F117-G117),5)</f>
        <v>-7500</v>
      </c>
      <c r="K117" s="87">
        <f>ROUND(IF(G117=0, IF(F117=0, 0, 1), F117/G117),5)</f>
        <v>0</v>
      </c>
      <c r="L117" s="37">
        <v>25</v>
      </c>
      <c r="M117" s="88">
        <v>300</v>
      </c>
      <c r="N117" s="39">
        <v>400</v>
      </c>
      <c r="O117" s="40">
        <v>500</v>
      </c>
      <c r="P117" s="10"/>
      <c r="Q117" s="10"/>
    </row>
    <row r="118" spans="1:17" ht="15" customHeight="1">
      <c r="A118" s="1"/>
      <c r="B118" s="83"/>
      <c r="C118" s="83"/>
      <c r="D118" s="83"/>
      <c r="E118" s="84" t="s">
        <v>159</v>
      </c>
      <c r="F118" s="115"/>
      <c r="G118" s="124">
        <f t="shared" si="27"/>
        <v>27000</v>
      </c>
      <c r="H118" s="125">
        <f t="shared" si="27"/>
        <v>36000</v>
      </c>
      <c r="I118" s="126">
        <f t="shared" si="27"/>
        <v>45000</v>
      </c>
      <c r="J118" s="119">
        <f>ROUND((F118-G118),5)</f>
        <v>-27000</v>
      </c>
      <c r="K118" s="87">
        <f>ROUND(IF(G118=0, IF(F118=0, 0, 1), F118/G118),5)</f>
        <v>0</v>
      </c>
      <c r="L118" s="37">
        <v>50</v>
      </c>
      <c r="M118" s="180">
        <f>900*0.6</f>
        <v>540</v>
      </c>
      <c r="N118" s="39">
        <f>1200*0.6</f>
        <v>720</v>
      </c>
      <c r="O118" s="157">
        <f>1500*0.6</f>
        <v>900</v>
      </c>
      <c r="P118" s="10"/>
      <c r="Q118" s="10"/>
    </row>
    <row r="119" spans="1:17" ht="15" customHeight="1">
      <c r="A119" s="1"/>
      <c r="B119" s="83"/>
      <c r="C119" s="83"/>
      <c r="D119" s="83"/>
      <c r="E119" s="84" t="s">
        <v>160</v>
      </c>
      <c r="F119" s="115"/>
      <c r="G119" s="124">
        <v>5000</v>
      </c>
      <c r="H119" s="125">
        <v>5000</v>
      </c>
      <c r="I119" s="126">
        <v>5000</v>
      </c>
      <c r="J119" s="119">
        <f>ROUND((F119-G119),5)</f>
        <v>-5000</v>
      </c>
      <c r="K119" s="87">
        <f>ROUND(IF(G119=0, IF(F119=0, 0, 1), F119/G119),5)</f>
        <v>0</v>
      </c>
      <c r="L119" s="37" t="s">
        <v>161</v>
      </c>
      <c r="M119" s="121"/>
      <c r="N119" s="64"/>
      <c r="O119" s="65"/>
      <c r="P119" s="10"/>
      <c r="Q119" s="10"/>
    </row>
    <row r="120" spans="1:17" ht="15.75" customHeight="1">
      <c r="A120" s="1"/>
      <c r="B120" s="83"/>
      <c r="C120" s="83"/>
      <c r="D120" s="83"/>
      <c r="E120" s="84" t="s">
        <v>162</v>
      </c>
      <c r="F120" s="149"/>
      <c r="G120" s="94">
        <v>2500</v>
      </c>
      <c r="H120" s="95">
        <v>2500</v>
      </c>
      <c r="I120" s="96">
        <v>2500</v>
      </c>
      <c r="J120" s="150">
        <f>ROUND((F120-G120),5)</f>
        <v>-2500</v>
      </c>
      <c r="K120" s="151">
        <f>ROUND(IF(G120=0, IF(F120=0, 0, 1), F120/G120),5)</f>
        <v>0</v>
      </c>
      <c r="L120" s="120"/>
      <c r="M120" s="121"/>
      <c r="N120" s="64"/>
      <c r="O120" s="65"/>
      <c r="P120" s="10"/>
      <c r="Q120" s="10"/>
    </row>
    <row r="121" spans="1:17" ht="15" customHeight="1">
      <c r="A121" s="1"/>
      <c r="B121" s="83"/>
      <c r="C121" s="83"/>
      <c r="D121" s="84" t="s">
        <v>163</v>
      </c>
      <c r="E121" s="83"/>
      <c r="F121" s="174">
        <f>ROUND(SUM(F116:F120),5)</f>
        <v>0</v>
      </c>
      <c r="G121" s="175">
        <f>ROUND(SUM(G116:G120),5)</f>
        <v>42000</v>
      </c>
      <c r="H121" s="176">
        <f>ROUND(SUM(H116:H120),5)</f>
        <v>53500</v>
      </c>
      <c r="I121" s="177">
        <f>ROUND(SUM(I116:I120),5)</f>
        <v>65000</v>
      </c>
      <c r="J121" s="178">
        <f>ROUND((F121-G121),5)</f>
        <v>-42000</v>
      </c>
      <c r="K121" s="179">
        <f>ROUND(IF(G121=0, IF(F121=0, 0, 1), F121/G121),5)</f>
        <v>0</v>
      </c>
      <c r="L121" s="111"/>
      <c r="M121" s="112"/>
      <c r="N121" s="81"/>
      <c r="O121" s="82"/>
      <c r="P121" s="27"/>
      <c r="Q121" s="27"/>
    </row>
    <row r="122" spans="1:17" ht="30" customHeight="1">
      <c r="A122" s="1"/>
      <c r="B122" s="83"/>
      <c r="C122" s="83"/>
      <c r="D122" s="83" t="s">
        <v>164</v>
      </c>
      <c r="E122" s="83"/>
      <c r="F122" s="115"/>
      <c r="G122" s="116"/>
      <c r="H122" s="117"/>
      <c r="I122" s="118"/>
      <c r="J122" s="119"/>
      <c r="K122" s="87"/>
      <c r="L122" s="120"/>
      <c r="M122" s="121"/>
      <c r="N122" s="64"/>
      <c r="O122" s="65"/>
      <c r="P122" s="10"/>
      <c r="Q122" s="10"/>
    </row>
    <row r="123" spans="1:17" ht="15" customHeight="1">
      <c r="A123" s="1"/>
      <c r="B123" s="83"/>
      <c r="C123" s="83"/>
      <c r="D123" s="83"/>
      <c r="E123" s="83" t="s">
        <v>165</v>
      </c>
      <c r="F123" s="115"/>
      <c r="G123" s="124">
        <v>0</v>
      </c>
      <c r="H123" s="125">
        <v>0</v>
      </c>
      <c r="I123" s="126">
        <v>0</v>
      </c>
      <c r="J123" s="119">
        <f t="shared" ref="J123:J129" si="28">ROUND((F123-G123),5)</f>
        <v>0</v>
      </c>
      <c r="K123" s="87">
        <f t="shared" ref="K123:K129" si="29">ROUND(IF(G123=0, IF(F123=0, 0, 1), F123/G123),5)</f>
        <v>0</v>
      </c>
      <c r="L123" s="120"/>
      <c r="M123" s="121"/>
      <c r="N123" s="64"/>
      <c r="O123" s="65"/>
      <c r="P123" s="10"/>
      <c r="Q123" s="10"/>
    </row>
    <row r="124" spans="1:17" ht="15" customHeight="1">
      <c r="A124" s="1"/>
      <c r="B124" s="83"/>
      <c r="C124" s="83"/>
      <c r="D124" s="83"/>
      <c r="E124" s="83" t="s">
        <v>166</v>
      </c>
      <c r="F124" s="115"/>
      <c r="G124" s="124">
        <v>0</v>
      </c>
      <c r="H124" s="125">
        <v>0</v>
      </c>
      <c r="I124" s="126">
        <v>0</v>
      </c>
      <c r="J124" s="119">
        <f t="shared" si="28"/>
        <v>0</v>
      </c>
      <c r="K124" s="87">
        <f t="shared" si="29"/>
        <v>0</v>
      </c>
      <c r="L124" s="120"/>
      <c r="M124" s="121"/>
      <c r="N124" s="64"/>
      <c r="O124" s="65"/>
      <c r="P124" s="10"/>
      <c r="Q124" s="10"/>
    </row>
    <row r="125" spans="1:17" ht="15" customHeight="1">
      <c r="A125" s="1"/>
      <c r="B125" s="83"/>
      <c r="C125" s="83"/>
      <c r="D125" s="83"/>
      <c r="E125" s="84" t="s">
        <v>167</v>
      </c>
      <c r="F125" s="115"/>
      <c r="G125" s="124">
        <v>20000</v>
      </c>
      <c r="H125" s="125">
        <v>20000</v>
      </c>
      <c r="I125" s="126">
        <v>20000</v>
      </c>
      <c r="J125" s="119">
        <f t="shared" si="28"/>
        <v>-20000</v>
      </c>
      <c r="K125" s="87">
        <f t="shared" si="29"/>
        <v>0</v>
      </c>
      <c r="L125" s="37" t="s">
        <v>168</v>
      </c>
      <c r="M125" s="121"/>
      <c r="N125" s="64"/>
      <c r="O125" s="65"/>
      <c r="P125" s="10"/>
      <c r="Q125" s="10"/>
    </row>
    <row r="126" spans="1:17" ht="15" customHeight="1">
      <c r="A126" s="1"/>
      <c r="B126" s="83"/>
      <c r="C126" s="83"/>
      <c r="D126" s="83"/>
      <c r="E126" s="84" t="s">
        <v>169</v>
      </c>
      <c r="F126" s="115"/>
      <c r="G126" s="124">
        <v>5000</v>
      </c>
      <c r="H126" s="125">
        <v>5000</v>
      </c>
      <c r="I126" s="126">
        <v>5000</v>
      </c>
      <c r="J126" s="119">
        <f t="shared" si="28"/>
        <v>-5000</v>
      </c>
      <c r="K126" s="87">
        <f t="shared" si="29"/>
        <v>0</v>
      </c>
      <c r="L126" s="37" t="s">
        <v>170</v>
      </c>
      <c r="M126" s="121"/>
      <c r="N126" s="64"/>
      <c r="O126" s="65"/>
      <c r="P126" s="10"/>
      <c r="Q126" s="10"/>
    </row>
    <row r="127" spans="1:17" ht="15" customHeight="1">
      <c r="A127" s="1"/>
      <c r="B127" s="83"/>
      <c r="C127" s="83"/>
      <c r="D127" s="83"/>
      <c r="E127" s="83" t="s">
        <v>171</v>
      </c>
      <c r="F127" s="115"/>
      <c r="G127" s="124">
        <v>2500</v>
      </c>
      <c r="H127" s="125">
        <v>2500</v>
      </c>
      <c r="I127" s="126">
        <v>2500</v>
      </c>
      <c r="J127" s="119">
        <f t="shared" si="28"/>
        <v>-2500</v>
      </c>
      <c r="K127" s="87">
        <f t="shared" si="29"/>
        <v>0</v>
      </c>
      <c r="L127" s="120"/>
      <c r="M127" s="121"/>
      <c r="N127" s="64"/>
      <c r="O127" s="65"/>
      <c r="P127" s="10"/>
      <c r="Q127" s="10"/>
    </row>
    <row r="128" spans="1:17" ht="15.75" customHeight="1">
      <c r="A128" s="1"/>
      <c r="B128" s="83"/>
      <c r="C128" s="83"/>
      <c r="D128" s="83"/>
      <c r="E128" s="83" t="s">
        <v>172</v>
      </c>
      <c r="F128" s="181"/>
      <c r="G128" s="182">
        <v>1000</v>
      </c>
      <c r="H128" s="183">
        <v>1000</v>
      </c>
      <c r="I128" s="184">
        <v>1000</v>
      </c>
      <c r="J128" s="185">
        <f t="shared" si="28"/>
        <v>-1000</v>
      </c>
      <c r="K128" s="186">
        <f t="shared" si="29"/>
        <v>0</v>
      </c>
      <c r="L128" s="120"/>
      <c r="M128" s="121"/>
      <c r="N128" s="64"/>
      <c r="O128" s="65"/>
      <c r="P128" s="10"/>
      <c r="Q128" s="10"/>
    </row>
    <row r="129" spans="1:17" ht="15" customHeight="1">
      <c r="A129" s="1"/>
      <c r="B129" s="83"/>
      <c r="C129" s="83"/>
      <c r="D129" s="83" t="s">
        <v>173</v>
      </c>
      <c r="E129" s="83"/>
      <c r="F129" s="133">
        <f>ROUND(SUM(F122:F128),5)</f>
        <v>0</v>
      </c>
      <c r="G129" s="134">
        <f>ROUND(SUM(G122:G128),5)</f>
        <v>28500</v>
      </c>
      <c r="H129" s="135">
        <f>ROUND(SUM(H122:H128),5)</f>
        <v>28500</v>
      </c>
      <c r="I129" s="136">
        <f>ROUND(SUM(I122:I128),5)</f>
        <v>28500</v>
      </c>
      <c r="J129" s="187">
        <f t="shared" si="28"/>
        <v>-28500</v>
      </c>
      <c r="K129" s="188">
        <f t="shared" si="29"/>
        <v>0</v>
      </c>
      <c r="L129" s="111"/>
      <c r="M129" s="112"/>
      <c r="N129" s="81"/>
      <c r="O129" s="82"/>
      <c r="P129" s="27"/>
      <c r="Q129" s="27"/>
    </row>
    <row r="130" spans="1:17" ht="30" customHeight="1">
      <c r="A130" s="1"/>
      <c r="B130" s="83"/>
      <c r="C130" s="83"/>
      <c r="D130" s="83" t="s">
        <v>174</v>
      </c>
      <c r="E130" s="83"/>
      <c r="F130" s="85"/>
      <c r="G130" s="29"/>
      <c r="H130" s="30"/>
      <c r="I130" s="31"/>
      <c r="J130" s="85"/>
      <c r="K130" s="170"/>
      <c r="L130" s="171"/>
      <c r="M130" s="121"/>
      <c r="N130" s="64"/>
      <c r="O130" s="65"/>
      <c r="P130" s="10"/>
      <c r="Q130" s="10"/>
    </row>
    <row r="131" spans="1:17" ht="15" customHeight="1">
      <c r="A131" s="1"/>
      <c r="B131" s="83"/>
      <c r="C131" s="83"/>
      <c r="D131" s="83"/>
      <c r="E131" s="83" t="s">
        <v>175</v>
      </c>
      <c r="F131" s="85"/>
      <c r="G131" s="44">
        <v>8500</v>
      </c>
      <c r="H131" s="66">
        <v>8500</v>
      </c>
      <c r="I131" s="67">
        <v>8500</v>
      </c>
      <c r="J131" s="85">
        <f t="shared" ref="J131:J142" si="30">ROUND((F131-G131),5)</f>
        <v>-8500</v>
      </c>
      <c r="K131" s="170">
        <f t="shared" ref="K131:K142" si="31">ROUND(IF(G131=0, IF(F131=0, 0, 1), F131/G131),5)</f>
        <v>0</v>
      </c>
      <c r="L131" s="171"/>
      <c r="M131" s="121"/>
      <c r="N131" s="64"/>
      <c r="O131" s="65"/>
      <c r="P131" s="10"/>
      <c r="Q131" s="10"/>
    </row>
    <row r="132" spans="1:17" ht="15" customHeight="1">
      <c r="A132" s="1"/>
      <c r="B132" s="83"/>
      <c r="C132" s="83"/>
      <c r="D132" s="83"/>
      <c r="E132" s="83" t="s">
        <v>176</v>
      </c>
      <c r="F132" s="85"/>
      <c r="G132" s="44">
        <v>5000</v>
      </c>
      <c r="H132" s="66">
        <v>5000</v>
      </c>
      <c r="I132" s="67">
        <v>5000</v>
      </c>
      <c r="J132" s="85">
        <f t="shared" si="30"/>
        <v>-5000</v>
      </c>
      <c r="K132" s="170">
        <f t="shared" si="31"/>
        <v>0</v>
      </c>
      <c r="L132" s="171"/>
      <c r="M132" s="121"/>
      <c r="N132" s="64"/>
      <c r="O132" s="65"/>
      <c r="P132" s="10"/>
      <c r="Q132" s="10"/>
    </row>
    <row r="133" spans="1:17" ht="15" customHeight="1">
      <c r="A133" s="1"/>
      <c r="B133" s="83"/>
      <c r="C133" s="83"/>
      <c r="D133" s="83"/>
      <c r="E133" s="83" t="s">
        <v>177</v>
      </c>
      <c r="F133" s="85"/>
      <c r="G133" s="44">
        <v>2500</v>
      </c>
      <c r="H133" s="66">
        <v>2500</v>
      </c>
      <c r="I133" s="67">
        <v>2500</v>
      </c>
      <c r="J133" s="85">
        <f t="shared" si="30"/>
        <v>-2500</v>
      </c>
      <c r="K133" s="170">
        <f t="shared" si="31"/>
        <v>0</v>
      </c>
      <c r="L133" s="172"/>
      <c r="M133" s="121"/>
      <c r="N133" s="64"/>
      <c r="O133" s="65"/>
      <c r="P133" s="10"/>
      <c r="Q133" s="10"/>
    </row>
    <row r="134" spans="1:17" ht="15" customHeight="1">
      <c r="A134" s="1"/>
      <c r="B134" s="1"/>
      <c r="C134" s="1"/>
      <c r="D134" s="1"/>
      <c r="E134" s="1" t="s">
        <v>178</v>
      </c>
      <c r="F134" s="28"/>
      <c r="G134" s="44">
        <v>500</v>
      </c>
      <c r="H134" s="66">
        <v>500</v>
      </c>
      <c r="I134" s="67">
        <v>500</v>
      </c>
      <c r="J134" s="28">
        <f t="shared" si="30"/>
        <v>-500</v>
      </c>
      <c r="K134" s="32">
        <f t="shared" si="31"/>
        <v>0</v>
      </c>
      <c r="L134" s="7"/>
      <c r="M134" s="9"/>
      <c r="N134" s="64"/>
      <c r="O134" s="65"/>
      <c r="P134" s="10"/>
      <c r="Q134" s="10"/>
    </row>
    <row r="135" spans="1:17" ht="15" customHeight="1">
      <c r="A135" s="1"/>
      <c r="B135" s="1"/>
      <c r="C135" s="1"/>
      <c r="D135" s="1"/>
      <c r="E135" s="1" t="s">
        <v>179</v>
      </c>
      <c r="F135" s="28"/>
      <c r="G135" s="44">
        <v>10000</v>
      </c>
      <c r="H135" s="66">
        <v>10000</v>
      </c>
      <c r="I135" s="67">
        <v>10000</v>
      </c>
      <c r="J135" s="28">
        <f t="shared" si="30"/>
        <v>-10000</v>
      </c>
      <c r="K135" s="32">
        <f t="shared" si="31"/>
        <v>0</v>
      </c>
      <c r="L135" s="41" t="s">
        <v>180</v>
      </c>
      <c r="M135" s="9"/>
      <c r="N135" s="64"/>
      <c r="O135" s="65"/>
      <c r="P135" s="10"/>
      <c r="Q135" s="10"/>
    </row>
    <row r="136" spans="1:17" ht="15" customHeight="1">
      <c r="A136" s="1"/>
      <c r="B136" s="1"/>
      <c r="C136" s="1"/>
      <c r="D136" s="1"/>
      <c r="E136" s="1" t="s">
        <v>181</v>
      </c>
      <c r="F136" s="28"/>
      <c r="G136" s="44">
        <v>350</v>
      </c>
      <c r="H136" s="66">
        <v>350</v>
      </c>
      <c r="I136" s="67">
        <v>350</v>
      </c>
      <c r="J136" s="28">
        <f t="shared" si="30"/>
        <v>-350</v>
      </c>
      <c r="K136" s="32">
        <f t="shared" si="31"/>
        <v>0</v>
      </c>
      <c r="L136" s="7"/>
      <c r="M136" s="9"/>
      <c r="N136" s="64"/>
      <c r="O136" s="65"/>
      <c r="P136" s="10"/>
      <c r="Q136" s="10"/>
    </row>
    <row r="137" spans="1:17" ht="15" customHeight="1">
      <c r="A137" s="1"/>
      <c r="B137" s="1"/>
      <c r="C137" s="1"/>
      <c r="D137" s="1"/>
      <c r="E137" s="1" t="s">
        <v>182</v>
      </c>
      <c r="F137" s="28"/>
      <c r="G137" s="44">
        <v>250</v>
      </c>
      <c r="H137" s="66">
        <v>250</v>
      </c>
      <c r="I137" s="67">
        <v>250</v>
      </c>
      <c r="J137" s="28">
        <f t="shared" si="30"/>
        <v>-250</v>
      </c>
      <c r="K137" s="32">
        <f t="shared" si="31"/>
        <v>0</v>
      </c>
      <c r="L137" s="7"/>
      <c r="M137" s="9"/>
      <c r="N137" s="64"/>
      <c r="O137" s="65"/>
      <c r="P137" s="10"/>
      <c r="Q137" s="10"/>
    </row>
    <row r="138" spans="1:17" ht="15" customHeight="1">
      <c r="A138" s="1"/>
      <c r="B138" s="1"/>
      <c r="C138" s="1"/>
      <c r="D138" s="1"/>
      <c r="E138" s="1" t="s">
        <v>183</v>
      </c>
      <c r="F138" s="28"/>
      <c r="G138" s="44">
        <v>350</v>
      </c>
      <c r="H138" s="66">
        <v>350</v>
      </c>
      <c r="I138" s="67">
        <v>350</v>
      </c>
      <c r="J138" s="28">
        <f t="shared" si="30"/>
        <v>-350</v>
      </c>
      <c r="K138" s="32">
        <f t="shared" si="31"/>
        <v>0</v>
      </c>
      <c r="L138" s="7"/>
      <c r="M138" s="9"/>
      <c r="N138" s="64"/>
      <c r="O138" s="65"/>
      <c r="P138" s="10"/>
      <c r="Q138" s="10"/>
    </row>
    <row r="139" spans="1:17" ht="15" customHeight="1">
      <c r="A139" s="1"/>
      <c r="B139" s="1"/>
      <c r="C139" s="1"/>
      <c r="D139" s="1"/>
      <c r="E139" s="17" t="s">
        <v>184</v>
      </c>
      <c r="F139" s="28"/>
      <c r="G139" s="44">
        <v>2500</v>
      </c>
      <c r="H139" s="66">
        <v>2500</v>
      </c>
      <c r="I139" s="67">
        <v>2500</v>
      </c>
      <c r="J139" s="28">
        <f t="shared" si="30"/>
        <v>-2500</v>
      </c>
      <c r="K139" s="32">
        <f t="shared" si="31"/>
        <v>0</v>
      </c>
      <c r="L139" s="7"/>
      <c r="M139" s="9"/>
      <c r="N139" s="64"/>
      <c r="O139" s="65"/>
      <c r="P139" s="10"/>
      <c r="Q139" s="10"/>
    </row>
    <row r="140" spans="1:17" ht="15" customHeight="1">
      <c r="A140" s="1"/>
      <c r="B140" s="1"/>
      <c r="C140" s="1"/>
      <c r="D140" s="1"/>
      <c r="E140" s="1" t="s">
        <v>185</v>
      </c>
      <c r="F140" s="28"/>
      <c r="G140" s="44">
        <v>1000</v>
      </c>
      <c r="H140" s="66">
        <v>1000</v>
      </c>
      <c r="I140" s="67">
        <v>1000</v>
      </c>
      <c r="J140" s="28">
        <f t="shared" si="30"/>
        <v>-1000</v>
      </c>
      <c r="K140" s="32">
        <f t="shared" si="31"/>
        <v>0</v>
      </c>
      <c r="L140" s="7"/>
      <c r="M140" s="9"/>
      <c r="N140" s="64"/>
      <c r="O140" s="65"/>
      <c r="P140" s="10"/>
      <c r="Q140" s="10"/>
    </row>
    <row r="141" spans="1:17" ht="15.75" customHeight="1">
      <c r="A141" s="83"/>
      <c r="B141" s="83"/>
      <c r="C141" s="83"/>
      <c r="D141" s="83"/>
      <c r="E141" s="83" t="s">
        <v>186</v>
      </c>
      <c r="F141" s="181"/>
      <c r="G141" s="182">
        <v>500</v>
      </c>
      <c r="H141" s="183">
        <v>500</v>
      </c>
      <c r="I141" s="184">
        <v>500</v>
      </c>
      <c r="J141" s="185">
        <f t="shared" si="30"/>
        <v>-500</v>
      </c>
      <c r="K141" s="186">
        <f t="shared" si="31"/>
        <v>0</v>
      </c>
      <c r="L141" s="120"/>
      <c r="M141" s="121"/>
      <c r="N141" s="121"/>
      <c r="O141" s="189"/>
      <c r="P141" s="10"/>
      <c r="Q141" s="10"/>
    </row>
    <row r="142" spans="1:17" ht="15" customHeight="1">
      <c r="A142" s="83"/>
      <c r="B142" s="83"/>
      <c r="C142" s="83"/>
      <c r="D142" s="83" t="s">
        <v>187</v>
      </c>
      <c r="E142" s="83"/>
      <c r="F142" s="174">
        <f>ROUND(SUM(F130:F141),5)</f>
        <v>0</v>
      </c>
      <c r="G142" s="175">
        <f>ROUND(SUM(G130:G141),5)</f>
        <v>31450</v>
      </c>
      <c r="H142" s="176">
        <f>ROUND(SUM(H130:H141),5)</f>
        <v>31450</v>
      </c>
      <c r="I142" s="177">
        <f>ROUND(SUM(I130:I141),5)</f>
        <v>31450</v>
      </c>
      <c r="J142" s="178">
        <f t="shared" si="30"/>
        <v>-31450</v>
      </c>
      <c r="K142" s="179">
        <f t="shared" si="31"/>
        <v>0</v>
      </c>
      <c r="L142" s="111"/>
      <c r="M142" s="112"/>
      <c r="N142" s="112"/>
      <c r="O142" s="190"/>
      <c r="P142" s="27"/>
      <c r="Q142" s="27"/>
    </row>
    <row r="143" spans="1:17" ht="30" customHeight="1">
      <c r="A143" s="83"/>
      <c r="B143" s="83"/>
      <c r="C143" s="83"/>
      <c r="D143" s="83" t="s">
        <v>188</v>
      </c>
      <c r="E143" s="83"/>
      <c r="F143" s="115"/>
      <c r="G143" s="116"/>
      <c r="H143" s="117"/>
      <c r="I143" s="118"/>
      <c r="J143" s="119"/>
      <c r="K143" s="87"/>
      <c r="L143" s="120"/>
      <c r="M143" s="121"/>
      <c r="N143" s="121"/>
      <c r="O143" s="189"/>
      <c r="P143" s="10"/>
      <c r="Q143" s="10"/>
    </row>
    <row r="144" spans="1:17" ht="15" customHeight="1">
      <c r="A144" s="83"/>
      <c r="B144" s="83"/>
      <c r="C144" s="83"/>
      <c r="D144" s="83"/>
      <c r="E144" s="83" t="s">
        <v>189</v>
      </c>
      <c r="F144" s="115"/>
      <c r="G144" s="124">
        <f>$L144*M144</f>
        <v>4500</v>
      </c>
      <c r="H144" s="125">
        <f>$L144*N144</f>
        <v>6000</v>
      </c>
      <c r="I144" s="126">
        <f>$L144*O144</f>
        <v>7500</v>
      </c>
      <c r="J144" s="119">
        <f t="shared" ref="J144:J150" si="32">ROUND((F144-G144),5)</f>
        <v>-4500</v>
      </c>
      <c r="K144" s="87">
        <f t="shared" ref="K144:K150" si="33">ROUND(IF(G144=0, IF(F144=0, 0, 1), F144/G144),5)</f>
        <v>0</v>
      </c>
      <c r="L144" s="37">
        <v>15</v>
      </c>
      <c r="M144" s="88">
        <v>300</v>
      </c>
      <c r="N144" s="89">
        <v>400</v>
      </c>
      <c r="O144" s="90">
        <v>500</v>
      </c>
      <c r="P144" s="10"/>
      <c r="Q144" s="10"/>
    </row>
    <row r="145" spans="1:17" ht="15" customHeight="1">
      <c r="A145" s="83"/>
      <c r="B145" s="83"/>
      <c r="C145" s="83"/>
      <c r="D145" s="83"/>
      <c r="E145" s="83" t="s">
        <v>190</v>
      </c>
      <c r="F145" s="115"/>
      <c r="G145" s="124">
        <f>L145*M145</f>
        <v>1350</v>
      </c>
      <c r="H145" s="125">
        <f>G145*1.33</f>
        <v>1795.5</v>
      </c>
      <c r="I145" s="126">
        <f>H145*1.25</f>
        <v>2244.375</v>
      </c>
      <c r="J145" s="119">
        <f t="shared" si="32"/>
        <v>-1350</v>
      </c>
      <c r="K145" s="87">
        <f t="shared" si="33"/>
        <v>0</v>
      </c>
      <c r="L145" s="37">
        <v>15</v>
      </c>
      <c r="M145" s="88">
        <v>90</v>
      </c>
      <c r="N145" s="89">
        <v>120</v>
      </c>
      <c r="O145" s="90">
        <v>150</v>
      </c>
      <c r="P145" s="10"/>
      <c r="Q145" s="10"/>
    </row>
    <row r="146" spans="1:17" ht="15" customHeight="1">
      <c r="A146" s="83"/>
      <c r="B146" s="83"/>
      <c r="C146" s="83"/>
      <c r="D146" s="83"/>
      <c r="E146" s="83" t="s">
        <v>191</v>
      </c>
      <c r="F146" s="115"/>
      <c r="G146" s="124">
        <v>1000</v>
      </c>
      <c r="H146" s="125">
        <v>1000</v>
      </c>
      <c r="I146" s="126">
        <v>1000</v>
      </c>
      <c r="J146" s="119">
        <f t="shared" si="32"/>
        <v>-1000</v>
      </c>
      <c r="K146" s="87">
        <f t="shared" si="33"/>
        <v>0</v>
      </c>
      <c r="L146" s="120"/>
      <c r="M146" s="121"/>
      <c r="N146" s="121"/>
      <c r="O146" s="189"/>
      <c r="P146" s="10"/>
      <c r="Q146" s="10"/>
    </row>
    <row r="147" spans="1:17" ht="15.75" customHeight="1">
      <c r="A147" s="83"/>
      <c r="B147" s="83"/>
      <c r="C147" s="83"/>
      <c r="D147" s="83"/>
      <c r="E147" s="83" t="s">
        <v>192</v>
      </c>
      <c r="F147" s="181"/>
      <c r="G147" s="182">
        <v>1000</v>
      </c>
      <c r="H147" s="183">
        <v>1000</v>
      </c>
      <c r="I147" s="184">
        <v>1000</v>
      </c>
      <c r="J147" s="185">
        <f t="shared" si="32"/>
        <v>-1000</v>
      </c>
      <c r="K147" s="186">
        <f t="shared" si="33"/>
        <v>0</v>
      </c>
      <c r="L147" s="120"/>
      <c r="M147" s="121"/>
      <c r="N147" s="121"/>
      <c r="O147" s="189"/>
      <c r="P147" s="10"/>
      <c r="Q147" s="10"/>
    </row>
    <row r="148" spans="1:17" ht="15.75" customHeight="1">
      <c r="A148" s="83"/>
      <c r="B148" s="83"/>
      <c r="C148" s="83"/>
      <c r="D148" s="83" t="s">
        <v>193</v>
      </c>
      <c r="E148" s="83"/>
      <c r="F148" s="191">
        <f>ROUND(SUM(F143:F147),5)</f>
        <v>0</v>
      </c>
      <c r="G148" s="192">
        <f>ROUND(SUM(G143:G147),5)</f>
        <v>7850</v>
      </c>
      <c r="H148" s="193">
        <f>ROUND(SUM(H143:H147),5)</f>
        <v>9795.5</v>
      </c>
      <c r="I148" s="194">
        <f>ROUND(SUM(I143:I147),5)</f>
        <v>11744.375</v>
      </c>
      <c r="J148" s="195">
        <f t="shared" si="32"/>
        <v>-7850</v>
      </c>
      <c r="K148" s="196">
        <f t="shared" si="33"/>
        <v>0</v>
      </c>
      <c r="L148" s="111"/>
      <c r="M148" s="112"/>
      <c r="N148" s="112"/>
      <c r="O148" s="190"/>
      <c r="P148" s="27"/>
      <c r="Q148" s="27"/>
    </row>
    <row r="149" spans="1:17" ht="15.75" customHeight="1">
      <c r="A149" s="83"/>
      <c r="B149" s="83"/>
      <c r="C149" s="225" t="s">
        <v>194</v>
      </c>
      <c r="D149" s="224"/>
      <c r="E149" s="224"/>
      <c r="F149" s="197">
        <f>ROUND(F61+F69+F76+F89+F101+F108+F115+F121+F129+F142+SUM(F148),5)</f>
        <v>0</v>
      </c>
      <c r="G149" s="198">
        <f>ROUND(G69+G76+G89+G94+G101+G108+G115+G121+G129+G142+G148,5)</f>
        <v>416110</v>
      </c>
      <c r="H149" s="199">
        <f>ROUND(H69+H76+H89+H94+H101+H108+H115+H121+H129+H142+H148,5)</f>
        <v>492000.5</v>
      </c>
      <c r="I149" s="200">
        <f>ROUND(I69+I76+I89+I94+I101+I108+I115+I121+I129+I142+I148,5)</f>
        <v>567965.625</v>
      </c>
      <c r="J149" s="201">
        <f t="shared" si="32"/>
        <v>-416110</v>
      </c>
      <c r="K149" s="202">
        <f t="shared" si="33"/>
        <v>0</v>
      </c>
      <c r="L149" s="120"/>
      <c r="M149" s="121"/>
      <c r="N149" s="121"/>
      <c r="O149" s="189"/>
      <c r="P149" s="10"/>
      <c r="Q149" s="10"/>
    </row>
    <row r="150" spans="1:17" ht="30" customHeight="1">
      <c r="A150" s="84" t="s">
        <v>195</v>
      </c>
      <c r="B150" s="83"/>
      <c r="C150" s="83"/>
      <c r="D150" s="83"/>
      <c r="E150" s="83"/>
      <c r="F150" s="203">
        <f>ROUND(F60-F149,5)</f>
        <v>0</v>
      </c>
      <c r="G150" s="204">
        <f>ROUND(G60-G149,5)</f>
        <v>125515</v>
      </c>
      <c r="H150" s="205">
        <f>ROUND(H60-H149,5)</f>
        <v>190436.5</v>
      </c>
      <c r="I150" s="206">
        <f>ROUND(I60-I149,5)</f>
        <v>256124.375</v>
      </c>
      <c r="J150" s="203">
        <f t="shared" si="32"/>
        <v>-125515</v>
      </c>
      <c r="K150" s="207">
        <f t="shared" si="33"/>
        <v>0</v>
      </c>
      <c r="L150" s="208"/>
      <c r="M150" s="209"/>
      <c r="N150" s="209"/>
      <c r="O150" s="190"/>
      <c r="P150" s="210"/>
      <c r="Q150" s="210"/>
    </row>
    <row r="151" spans="1:17" ht="15.75" customHeight="1">
      <c r="A151" s="211"/>
      <c r="B151" s="211"/>
      <c r="C151" s="211"/>
      <c r="D151" s="211"/>
      <c r="E151" s="211"/>
      <c r="F151" s="212"/>
      <c r="G151" s="213"/>
      <c r="H151" s="214"/>
      <c r="I151" s="215"/>
      <c r="J151" s="216"/>
      <c r="K151" s="217"/>
      <c r="L151" s="120"/>
      <c r="M151" s="121"/>
      <c r="N151" s="121"/>
      <c r="O151" s="189"/>
      <c r="P151" s="10"/>
      <c r="Q151" s="10"/>
    </row>
    <row r="152" spans="1:17" ht="15" customHeight="1">
      <c r="A152" s="211"/>
      <c r="B152" s="211"/>
      <c r="C152" s="211"/>
      <c r="D152" s="211"/>
      <c r="E152" s="211"/>
      <c r="F152" s="218"/>
      <c r="G152" s="219"/>
      <c r="H152" s="220"/>
      <c r="I152" s="221"/>
      <c r="J152" s="218"/>
      <c r="K152" s="218"/>
      <c r="L152" s="171"/>
      <c r="M152" s="121"/>
      <c r="N152" s="121"/>
      <c r="O152" s="189"/>
      <c r="P152" s="10"/>
      <c r="Q152" s="10"/>
    </row>
    <row r="153" spans="1:17" ht="15" customHeight="1">
      <c r="A153" s="210"/>
      <c r="B153" s="210"/>
      <c r="C153" s="210"/>
      <c r="D153" s="210"/>
      <c r="E153" s="210"/>
      <c r="F153" s="10"/>
      <c r="G153" s="219"/>
      <c r="H153" s="220"/>
      <c r="I153" s="221"/>
      <c r="J153" s="10"/>
      <c r="K153" s="10"/>
      <c r="L153" s="7"/>
      <c r="M153" s="9"/>
      <c r="N153" s="64"/>
      <c r="O153" s="65"/>
      <c r="P153" s="10"/>
      <c r="Q153" s="10"/>
    </row>
    <row r="154" spans="1:17" ht="15" customHeight="1">
      <c r="A154" s="210"/>
      <c r="B154" s="210"/>
      <c r="C154" s="210"/>
      <c r="D154" s="210"/>
      <c r="E154" s="210"/>
      <c r="F154" s="10"/>
      <c r="G154" s="222"/>
      <c r="H154" s="220"/>
      <c r="I154" s="221"/>
      <c r="J154" s="10"/>
      <c r="K154" s="10"/>
      <c r="L154" s="7"/>
      <c r="M154" s="9"/>
      <c r="N154" s="64"/>
      <c r="O154" s="65"/>
      <c r="P154" s="10"/>
      <c r="Q154" s="10"/>
    </row>
  </sheetData>
  <mergeCells count="2">
    <mergeCell ref="M2:O2"/>
    <mergeCell ref="C149:E149"/>
  </mergeCells>
  <pageMargins left="0.7" right="0.7" top="0.75" bottom="0.75" header="0.3" footer="0.3"/>
  <pageSetup paperSize="17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P&amp;L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Lauren De Valencia y Sanchez </cp:lastModifiedBy>
  <cp:lastPrinted>2014-09-09T17:18:33Z</cp:lastPrinted>
  <dcterms:created xsi:type="dcterms:W3CDTF">2014-09-09T21:34:46Z</dcterms:created>
  <dcterms:modified xsi:type="dcterms:W3CDTF">2014-09-09T21:34:46Z</dcterms:modified>
</cp:coreProperties>
</file>