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sandestefan/Desktop/"/>
    </mc:Choice>
  </mc:AlternateContent>
  <xr:revisionPtr revIDLastSave="0" documentId="13_ncr:1_{FCC2D27E-CB7B-3541-9585-BB282619BC3A}" xr6:coauthVersionLast="40" xr6:coauthVersionMax="40" xr10:uidLastSave="{00000000-0000-0000-0000-000000000000}"/>
  <bookViews>
    <workbookView xWindow="0" yWindow="460" windowWidth="25600" windowHeight="13060" xr2:uid="{00000000-000D-0000-FFFF-FFFF00000000}"/>
  </bookViews>
  <sheets>
    <sheet name="Budget vs. Actuals" sheetId="1" r:id="rId1"/>
    <sheet name="Montly Expenses" sheetId="9" state="hidden" r:id="rId2"/>
    <sheet name="Monthly Actuals" sheetId="5" state="hidden" r:id="rId3"/>
    <sheet name="Monthly Percentages" sheetId="3" state="hidden" r:id="rId4"/>
    <sheet name="Chart Montly Income" sheetId="8" state="hidden" r:id="rId5"/>
    <sheet name="Chart Monthly Expense %" sheetId="7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E138" i="1" l="1"/>
  <c r="AE128" i="1"/>
  <c r="AE122" i="1"/>
  <c r="AE80" i="1"/>
  <c r="AE68" i="1"/>
  <c r="AE61" i="1"/>
  <c r="AE39" i="1"/>
  <c r="AE35" i="1"/>
  <c r="AE29" i="1"/>
  <c r="AE24" i="1"/>
  <c r="AE21" i="1"/>
  <c r="AE10" i="1"/>
  <c r="L138" i="1" l="1"/>
  <c r="L125" i="1"/>
  <c r="L128" i="1" s="1"/>
  <c r="L122" i="1"/>
  <c r="L99" i="1"/>
  <c r="L111" i="1" s="1"/>
  <c r="L89" i="1"/>
  <c r="L88" i="1"/>
  <c r="L87" i="1"/>
  <c r="L85" i="1"/>
  <c r="L84" i="1"/>
  <c r="L83" i="1"/>
  <c r="L78" i="1"/>
  <c r="L80" i="1" s="1"/>
  <c r="L71" i="1"/>
  <c r="L70" i="1"/>
  <c r="L68" i="1"/>
  <c r="L60" i="1"/>
  <c r="L59" i="1"/>
  <c r="L58" i="1"/>
  <c r="L57" i="1"/>
  <c r="L56" i="1"/>
  <c r="L54" i="1"/>
  <c r="L53" i="1"/>
  <c r="L52" i="1"/>
  <c r="L49" i="1"/>
  <c r="L48" i="1"/>
  <c r="L45" i="1"/>
  <c r="L38" i="1"/>
  <c r="L39" i="1" s="1"/>
  <c r="L34" i="1"/>
  <c r="L35" i="1" s="1"/>
  <c r="L27" i="1"/>
  <c r="L29" i="1" s="1"/>
  <c r="L24" i="1"/>
  <c r="L13" i="1"/>
  <c r="L21" i="1" s="1"/>
  <c r="L10" i="1"/>
  <c r="L94" i="1" l="1"/>
  <c r="L74" i="1"/>
  <c r="AE141" i="1"/>
  <c r="L41" i="1"/>
  <c r="L42" i="1" s="1"/>
  <c r="L61" i="1"/>
  <c r="M9" i="1"/>
  <c r="O9" i="1"/>
  <c r="Q9" i="1"/>
  <c r="S9" i="1"/>
  <c r="U9" i="1"/>
  <c r="W9" i="1"/>
  <c r="Y9" i="1"/>
  <c r="AA9" i="1"/>
  <c r="AC9" i="1" s="1"/>
  <c r="L139" i="1" l="1"/>
  <c r="L140" i="1" s="1"/>
  <c r="L141" i="1" s="1"/>
  <c r="AD9" i="1"/>
  <c r="J138" i="1"/>
  <c r="F112" i="5" s="1"/>
  <c r="J128" i="1"/>
  <c r="F103" i="5" s="1"/>
  <c r="J113" i="1"/>
  <c r="J106" i="1"/>
  <c r="J105" i="1"/>
  <c r="J99" i="1"/>
  <c r="F82" i="5" s="1"/>
  <c r="J90" i="1"/>
  <c r="F75" i="5" s="1"/>
  <c r="J89" i="1"/>
  <c r="J88" i="1"/>
  <c r="J87" i="1"/>
  <c r="K87" i="1" s="1"/>
  <c r="F72" i="3" s="1"/>
  <c r="J85" i="1"/>
  <c r="J84" i="1"/>
  <c r="J83" i="1"/>
  <c r="J81" i="1"/>
  <c r="J78" i="1"/>
  <c r="K78" i="1" s="1"/>
  <c r="F63" i="3" s="1"/>
  <c r="J70" i="1"/>
  <c r="K70" i="1" s="1"/>
  <c r="F57" i="3" s="1"/>
  <c r="J64" i="1"/>
  <c r="J68" i="1" s="1"/>
  <c r="F55" i="5" s="1"/>
  <c r="J60" i="1"/>
  <c r="K60" i="1" s="1"/>
  <c r="F48" i="3" s="1"/>
  <c r="J59" i="1"/>
  <c r="J58" i="1"/>
  <c r="K58" i="1" s="1"/>
  <c r="F46" i="3" s="1"/>
  <c r="J57" i="1"/>
  <c r="J56" i="1"/>
  <c r="K56" i="1" s="1"/>
  <c r="F44" i="3" s="1"/>
  <c r="J54" i="1"/>
  <c r="J53" i="1"/>
  <c r="J52" i="1"/>
  <c r="J45" i="1"/>
  <c r="F34" i="5" s="1"/>
  <c r="J37" i="1"/>
  <c r="F27" i="5" s="1"/>
  <c r="J34" i="1"/>
  <c r="J28" i="1"/>
  <c r="F19" i="5" s="1"/>
  <c r="J24" i="1"/>
  <c r="F15" i="5" s="1"/>
  <c r="J13" i="1"/>
  <c r="F7" i="5" s="1"/>
  <c r="J10" i="1"/>
  <c r="H138" i="1"/>
  <c r="E112" i="5" s="1"/>
  <c r="H128" i="1"/>
  <c r="E103" i="5" s="1"/>
  <c r="H122" i="1"/>
  <c r="E97" i="5" s="1"/>
  <c r="H101" i="1"/>
  <c r="H99" i="1"/>
  <c r="E82" i="5" s="1"/>
  <c r="H97" i="1"/>
  <c r="H90" i="1"/>
  <c r="H88" i="1"/>
  <c r="H83" i="1"/>
  <c r="H79" i="1"/>
  <c r="H74" i="1"/>
  <c r="E60" i="5" s="1"/>
  <c r="H64" i="1"/>
  <c r="H68" i="1" s="1"/>
  <c r="E55" i="5" s="1"/>
  <c r="H59" i="1"/>
  <c r="H58" i="1"/>
  <c r="H57" i="1"/>
  <c r="H56" i="1"/>
  <c r="I56" i="1" s="1"/>
  <c r="E44" i="3" s="1"/>
  <c r="H54" i="1"/>
  <c r="I54" i="1" s="1"/>
  <c r="E42" i="3" s="1"/>
  <c r="H53" i="1"/>
  <c r="E41" i="5" s="1"/>
  <c r="H52" i="1"/>
  <c r="E40" i="5" s="1"/>
  <c r="H47" i="1"/>
  <c r="H45" i="1"/>
  <c r="H39" i="1"/>
  <c r="E29" i="5" s="1"/>
  <c r="H34" i="1"/>
  <c r="I34" i="1" s="1"/>
  <c r="E24" i="3" s="1"/>
  <c r="H31" i="1"/>
  <c r="H28" i="1"/>
  <c r="H24" i="1"/>
  <c r="E15" i="5" s="1"/>
  <c r="H13" i="1"/>
  <c r="E7" i="5" s="1"/>
  <c r="H12" i="1"/>
  <c r="H10" i="1"/>
  <c r="E4" i="5" s="1"/>
  <c r="F138" i="1"/>
  <c r="D112" i="5" s="1"/>
  <c r="F128" i="1"/>
  <c r="D103" i="5" s="1"/>
  <c r="F113" i="1"/>
  <c r="F99" i="1"/>
  <c r="F98" i="1"/>
  <c r="D81" i="5" s="1"/>
  <c r="F90" i="1"/>
  <c r="G90" i="1" s="1"/>
  <c r="D75" i="3" s="1"/>
  <c r="F89" i="1"/>
  <c r="F88" i="1"/>
  <c r="F87" i="1"/>
  <c r="G87" i="1" s="1"/>
  <c r="D72" i="3" s="1"/>
  <c r="F86" i="1"/>
  <c r="F85" i="1"/>
  <c r="G85" i="1" s="1"/>
  <c r="F84" i="1"/>
  <c r="F83" i="1"/>
  <c r="D68" i="5" s="1"/>
  <c r="F78" i="1"/>
  <c r="G78" i="1" s="1"/>
  <c r="D63" i="3" s="1"/>
  <c r="F70" i="1"/>
  <c r="F74" i="1" s="1"/>
  <c r="D60" i="5" s="1"/>
  <c r="F64" i="1"/>
  <c r="F60" i="1"/>
  <c r="D48" i="5" s="1"/>
  <c r="F59" i="1"/>
  <c r="F58" i="1"/>
  <c r="F57" i="1"/>
  <c r="F54" i="1"/>
  <c r="G54" i="1" s="1"/>
  <c r="D42" i="3" s="1"/>
  <c r="F53" i="1"/>
  <c r="F50" i="1"/>
  <c r="F49" i="1"/>
  <c r="F38" i="1"/>
  <c r="G38" i="1" s="1"/>
  <c r="D28" i="3" s="1"/>
  <c r="F34" i="1"/>
  <c r="G34" i="1" s="1"/>
  <c r="D24" i="3" s="1"/>
  <c r="F31" i="1"/>
  <c r="F28" i="1"/>
  <c r="D19" i="5" s="1"/>
  <c r="F27" i="1"/>
  <c r="G27" i="1" s="1"/>
  <c r="D18" i="3" s="1"/>
  <c r="F24" i="1"/>
  <c r="F13" i="1"/>
  <c r="F21" i="1" s="1"/>
  <c r="D12" i="5" s="1"/>
  <c r="F10" i="1"/>
  <c r="D4" i="5" s="1"/>
  <c r="D138" i="1"/>
  <c r="C112" i="5" s="1"/>
  <c r="D127" i="1"/>
  <c r="D128" i="1" s="1"/>
  <c r="D114" i="1"/>
  <c r="E114" i="1" s="1"/>
  <c r="C92" i="3" s="1"/>
  <c r="D101" i="1"/>
  <c r="C83" i="5" s="1"/>
  <c r="D99" i="1"/>
  <c r="D98" i="1"/>
  <c r="D90" i="1"/>
  <c r="C75" i="5" s="1"/>
  <c r="D89" i="1"/>
  <c r="D88" i="1"/>
  <c r="C73" i="5" s="1"/>
  <c r="D87" i="1"/>
  <c r="C72" i="5" s="1"/>
  <c r="D85" i="1"/>
  <c r="D84" i="1"/>
  <c r="D83" i="1"/>
  <c r="E83" i="1" s="1"/>
  <c r="C68" i="3" s="1"/>
  <c r="D78" i="1"/>
  <c r="E78" i="1" s="1"/>
  <c r="C63" i="3" s="1"/>
  <c r="D71" i="1"/>
  <c r="D70" i="1"/>
  <c r="D68" i="1"/>
  <c r="C55" i="5" s="1"/>
  <c r="D60" i="1"/>
  <c r="E60" i="1" s="1"/>
  <c r="C48" i="3" s="1"/>
  <c r="D59" i="1"/>
  <c r="C47" i="5" s="1"/>
  <c r="D58" i="1"/>
  <c r="D57" i="1"/>
  <c r="C45" i="5" s="1"/>
  <c r="D56" i="1"/>
  <c r="D55" i="1"/>
  <c r="AA55" i="1" s="1"/>
  <c r="AD55" i="1" s="1"/>
  <c r="D54" i="1"/>
  <c r="D53" i="1"/>
  <c r="C41" i="5" s="1"/>
  <c r="D52" i="1"/>
  <c r="D50" i="1"/>
  <c r="D49" i="1"/>
  <c r="D48" i="1"/>
  <c r="C36" i="5" s="1"/>
  <c r="D47" i="1"/>
  <c r="C35" i="5" s="1"/>
  <c r="D45" i="1"/>
  <c r="D37" i="1"/>
  <c r="D34" i="1"/>
  <c r="C24" i="5" s="1"/>
  <c r="D28" i="1"/>
  <c r="D24" i="1"/>
  <c r="D13" i="1"/>
  <c r="C7" i="5" s="1"/>
  <c r="D12" i="1"/>
  <c r="C6" i="5" s="1"/>
  <c r="D10" i="1"/>
  <c r="C4" i="5" s="1"/>
  <c r="B138" i="1"/>
  <c r="B128" i="1"/>
  <c r="B103" i="5" s="1"/>
  <c r="B117" i="1"/>
  <c r="C117" i="1" s="1"/>
  <c r="B94" i="3" s="1"/>
  <c r="B113" i="1"/>
  <c r="B107" i="1"/>
  <c r="B105" i="1"/>
  <c r="B99" i="1"/>
  <c r="B90" i="1"/>
  <c r="B75" i="5" s="1"/>
  <c r="B89" i="1"/>
  <c r="B74" i="5" s="1"/>
  <c r="B88" i="1"/>
  <c r="B73" i="5" s="1"/>
  <c r="B87" i="1"/>
  <c r="B85" i="1"/>
  <c r="B84" i="1"/>
  <c r="B69" i="5" s="1"/>
  <c r="B83" i="1"/>
  <c r="B78" i="1"/>
  <c r="B80" i="1" s="1"/>
  <c r="B65" i="5" s="1"/>
  <c r="B71" i="1"/>
  <c r="C71" i="1" s="1"/>
  <c r="B58" i="3" s="1"/>
  <c r="B70" i="1"/>
  <c r="B68" i="1"/>
  <c r="B59" i="1"/>
  <c r="B47" i="5" s="1"/>
  <c r="B58" i="1"/>
  <c r="C58" i="1" s="1"/>
  <c r="B46" i="3" s="1"/>
  <c r="B57" i="1"/>
  <c r="B56" i="1"/>
  <c r="B54" i="1"/>
  <c r="B53" i="1"/>
  <c r="C53" i="1" s="1"/>
  <c r="B41" i="3" s="1"/>
  <c r="B52" i="1"/>
  <c r="C52" i="1" s="1"/>
  <c r="B40" i="3" s="1"/>
  <c r="B50" i="1"/>
  <c r="B45" i="1"/>
  <c r="C45" i="1" s="1"/>
  <c r="B34" i="3" s="1"/>
  <c r="B39" i="1"/>
  <c r="B34" i="1"/>
  <c r="B35" i="1" s="1"/>
  <c r="B28" i="1"/>
  <c r="B29" i="1" s="1"/>
  <c r="B24" i="1"/>
  <c r="B19" i="1"/>
  <c r="B16" i="1"/>
  <c r="B9" i="5" s="1"/>
  <c r="B13" i="1"/>
  <c r="B10" i="1"/>
  <c r="B4" i="5" s="1"/>
  <c r="AA137" i="1"/>
  <c r="AB10" i="1"/>
  <c r="AB21" i="1"/>
  <c r="AB24" i="1"/>
  <c r="I24" i="1" s="1"/>
  <c r="E15" i="3" s="1"/>
  <c r="AB29" i="1"/>
  <c r="AB39" i="1"/>
  <c r="AB61" i="1"/>
  <c r="AB80" i="1"/>
  <c r="AB94" i="1"/>
  <c r="AB138" i="1"/>
  <c r="Y137" i="1"/>
  <c r="M111" i="3" s="1"/>
  <c r="Y136" i="1"/>
  <c r="M110" i="3" s="1"/>
  <c r="Y134" i="1"/>
  <c r="Y133" i="1"/>
  <c r="M107" i="3" s="1"/>
  <c r="Y130" i="1"/>
  <c r="M105" i="3" s="1"/>
  <c r="Y127" i="1"/>
  <c r="M102" i="3" s="1"/>
  <c r="Y126" i="1"/>
  <c r="Y124" i="1"/>
  <c r="M99" i="3" s="1"/>
  <c r="Y119" i="1"/>
  <c r="M96" i="3" s="1"/>
  <c r="Y117" i="1"/>
  <c r="M94" i="3" s="1"/>
  <c r="Y115" i="1"/>
  <c r="Y114" i="1"/>
  <c r="M92" i="3" s="1"/>
  <c r="Y107" i="1"/>
  <c r="M88" i="3" s="1"/>
  <c r="Y106" i="1"/>
  <c r="M87" i="3" s="1"/>
  <c r="Y104" i="1"/>
  <c r="Y103" i="1"/>
  <c r="M84" i="3" s="1"/>
  <c r="Y101" i="1"/>
  <c r="M83" i="3" s="1"/>
  <c r="Y98" i="1"/>
  <c r="M81" i="3" s="1"/>
  <c r="Y97" i="1"/>
  <c r="Y96" i="1"/>
  <c r="M79" i="3" s="1"/>
  <c r="Y91" i="1"/>
  <c r="Y90" i="1"/>
  <c r="M75" i="3" s="1"/>
  <c r="Y89" i="1"/>
  <c r="Y87" i="1"/>
  <c r="M72" i="3" s="1"/>
  <c r="Y86" i="1"/>
  <c r="M71" i="3" s="1"/>
  <c r="Y85" i="1"/>
  <c r="M70" i="3" s="1"/>
  <c r="Y83" i="1"/>
  <c r="Y82" i="1"/>
  <c r="M67" i="3" s="1"/>
  <c r="Y78" i="1"/>
  <c r="M63" i="3" s="1"/>
  <c r="Y76" i="1"/>
  <c r="M62" i="3" s="1"/>
  <c r="Y71" i="1"/>
  <c r="Y70" i="1"/>
  <c r="M57" i="3" s="1"/>
  <c r="Y66" i="1"/>
  <c r="M53" i="3" s="1"/>
  <c r="Y64" i="1"/>
  <c r="M52" i="3" s="1"/>
  <c r="Y63" i="1"/>
  <c r="Y60" i="1"/>
  <c r="M48" i="3" s="1"/>
  <c r="Y59" i="1"/>
  <c r="M47" i="3" s="1"/>
  <c r="Y58" i="1"/>
  <c r="M46" i="3" s="1"/>
  <c r="Y56" i="1"/>
  <c r="Y55" i="1"/>
  <c r="M43" i="3" s="1"/>
  <c r="Y54" i="1"/>
  <c r="M42" i="3" s="1"/>
  <c r="Y52" i="1"/>
  <c r="M40" i="3" s="1"/>
  <c r="Y51" i="1"/>
  <c r="Y50" i="1"/>
  <c r="M38" i="3" s="1"/>
  <c r="Y48" i="1"/>
  <c r="M36" i="3" s="1"/>
  <c r="Y47" i="1"/>
  <c r="M35" i="3" s="1"/>
  <c r="Y45" i="1"/>
  <c r="Y38" i="1"/>
  <c r="Y34" i="1"/>
  <c r="M24" i="3" s="1"/>
  <c r="Y33" i="1"/>
  <c r="M23" i="3" s="1"/>
  <c r="Y28" i="1"/>
  <c r="M19" i="3" s="1"/>
  <c r="Y27" i="1"/>
  <c r="Y23" i="1"/>
  <c r="Y19" i="1"/>
  <c r="M10" i="3" s="1"/>
  <c r="Y16" i="1"/>
  <c r="Y14" i="1"/>
  <c r="M8" i="3" s="1"/>
  <c r="Y12" i="1"/>
  <c r="M6" i="3" s="1"/>
  <c r="M3" i="3"/>
  <c r="W137" i="1"/>
  <c r="L111" i="3" s="1"/>
  <c r="W136" i="1"/>
  <c r="L110" i="3" s="1"/>
  <c r="W134" i="1"/>
  <c r="L108" i="3" s="1"/>
  <c r="W133" i="1"/>
  <c r="L107" i="3" s="1"/>
  <c r="W130" i="1"/>
  <c r="W127" i="1"/>
  <c r="L102" i="3" s="1"/>
  <c r="W126" i="1"/>
  <c r="L101" i="3" s="1"/>
  <c r="W124" i="1"/>
  <c r="L99" i="3" s="1"/>
  <c r="W119" i="1"/>
  <c r="W117" i="1"/>
  <c r="L94" i="3" s="1"/>
  <c r="W115" i="1"/>
  <c r="L93" i="3" s="1"/>
  <c r="W114" i="1"/>
  <c r="L92" i="3" s="1"/>
  <c r="W107" i="1"/>
  <c r="L88" i="3" s="1"/>
  <c r="W106" i="1"/>
  <c r="L87" i="3" s="1"/>
  <c r="W104" i="1"/>
  <c r="L85" i="3" s="1"/>
  <c r="W103" i="1"/>
  <c r="L84" i="3" s="1"/>
  <c r="W101" i="1"/>
  <c r="W98" i="1"/>
  <c r="L81" i="3" s="1"/>
  <c r="W97" i="1"/>
  <c r="L80" i="3" s="1"/>
  <c r="W96" i="1"/>
  <c r="L79" i="3" s="1"/>
  <c r="W91" i="1"/>
  <c r="L76" i="3" s="1"/>
  <c r="W90" i="1"/>
  <c r="L75" i="3" s="1"/>
  <c r="W89" i="1"/>
  <c r="L74" i="3" s="1"/>
  <c r="W87" i="1"/>
  <c r="L72" i="3" s="1"/>
  <c r="W86" i="1"/>
  <c r="W85" i="1"/>
  <c r="L70" i="3" s="1"/>
  <c r="W83" i="1"/>
  <c r="L68" i="3" s="1"/>
  <c r="W82" i="1"/>
  <c r="L67" i="3" s="1"/>
  <c r="W78" i="1"/>
  <c r="W76" i="1"/>
  <c r="L62" i="3" s="1"/>
  <c r="W71" i="1"/>
  <c r="L58" i="3" s="1"/>
  <c r="W70" i="1"/>
  <c r="L57" i="3" s="1"/>
  <c r="W66" i="1"/>
  <c r="W64" i="1"/>
  <c r="L52" i="3" s="1"/>
  <c r="W63" i="1"/>
  <c r="L51" i="3" s="1"/>
  <c r="W60" i="1"/>
  <c r="L48" i="3" s="1"/>
  <c r="W59" i="1"/>
  <c r="W58" i="1"/>
  <c r="L46" i="3" s="1"/>
  <c r="W56" i="1"/>
  <c r="L44" i="3" s="1"/>
  <c r="W55" i="1"/>
  <c r="L43" i="3" s="1"/>
  <c r="W54" i="1"/>
  <c r="W52" i="1"/>
  <c r="L40" i="3" s="1"/>
  <c r="W51" i="1"/>
  <c r="L39" i="3" s="1"/>
  <c r="W50" i="1"/>
  <c r="L38" i="3" s="1"/>
  <c r="W48" i="1"/>
  <c r="W47" i="1"/>
  <c r="L35" i="3" s="1"/>
  <c r="W45" i="1"/>
  <c r="L34" i="3" s="1"/>
  <c r="W38" i="1"/>
  <c r="L28" i="3" s="1"/>
  <c r="W34" i="1"/>
  <c r="W33" i="1"/>
  <c r="L23" i="3" s="1"/>
  <c r="W28" i="1"/>
  <c r="L19" i="3" s="1"/>
  <c r="W27" i="1"/>
  <c r="L18" i="3" s="1"/>
  <c r="W23" i="1"/>
  <c r="L14" i="3" s="1"/>
  <c r="W19" i="1"/>
  <c r="W16" i="1"/>
  <c r="L9" i="3" s="1"/>
  <c r="W14" i="1"/>
  <c r="L8" i="3" s="1"/>
  <c r="W12" i="1"/>
  <c r="L6" i="3" s="1"/>
  <c r="U137" i="1"/>
  <c r="K111" i="3" s="1"/>
  <c r="U136" i="1"/>
  <c r="K110" i="3" s="1"/>
  <c r="U134" i="1"/>
  <c r="K108" i="3" s="1"/>
  <c r="U133" i="1"/>
  <c r="K107" i="3" s="1"/>
  <c r="U130" i="1"/>
  <c r="K105" i="3" s="1"/>
  <c r="U127" i="1"/>
  <c r="K102" i="3" s="1"/>
  <c r="U126" i="1"/>
  <c r="K101" i="3" s="1"/>
  <c r="U124" i="1"/>
  <c r="K99" i="3" s="1"/>
  <c r="U119" i="1"/>
  <c r="K96" i="3" s="1"/>
  <c r="U117" i="1"/>
  <c r="K94" i="3" s="1"/>
  <c r="U115" i="1"/>
  <c r="K93" i="3" s="1"/>
  <c r="U114" i="1"/>
  <c r="K92" i="3" s="1"/>
  <c r="U107" i="1"/>
  <c r="K88" i="3" s="1"/>
  <c r="U106" i="1"/>
  <c r="K87" i="3" s="1"/>
  <c r="U104" i="1"/>
  <c r="K85" i="3" s="1"/>
  <c r="U103" i="1"/>
  <c r="K84" i="3" s="1"/>
  <c r="U101" i="1"/>
  <c r="K83" i="3" s="1"/>
  <c r="U98" i="1"/>
  <c r="K81" i="3" s="1"/>
  <c r="U97" i="1"/>
  <c r="K80" i="3" s="1"/>
  <c r="U96" i="1"/>
  <c r="K79" i="3" s="1"/>
  <c r="U91" i="1"/>
  <c r="K76" i="3" s="1"/>
  <c r="U90" i="1"/>
  <c r="K75" i="3" s="1"/>
  <c r="U89" i="1"/>
  <c r="K74" i="3" s="1"/>
  <c r="U87" i="1"/>
  <c r="K72" i="3" s="1"/>
  <c r="U86" i="1"/>
  <c r="K71" i="3" s="1"/>
  <c r="U85" i="1"/>
  <c r="U83" i="1"/>
  <c r="K68" i="3" s="1"/>
  <c r="U82" i="1"/>
  <c r="K67" i="3" s="1"/>
  <c r="U78" i="1"/>
  <c r="U76" i="1"/>
  <c r="K62" i="3" s="1"/>
  <c r="U71" i="1"/>
  <c r="K58" i="3" s="1"/>
  <c r="U70" i="1"/>
  <c r="K57" i="3" s="1"/>
  <c r="U66" i="1"/>
  <c r="K53" i="3" s="1"/>
  <c r="U64" i="1"/>
  <c r="K52" i="3" s="1"/>
  <c r="U63" i="1"/>
  <c r="K51" i="3" s="1"/>
  <c r="U60" i="1"/>
  <c r="K48" i="3" s="1"/>
  <c r="U59" i="1"/>
  <c r="U58" i="1"/>
  <c r="K46" i="3" s="1"/>
  <c r="U56" i="1"/>
  <c r="K44" i="3" s="1"/>
  <c r="U55" i="1"/>
  <c r="K43" i="3" s="1"/>
  <c r="U54" i="1"/>
  <c r="K42" i="3" s="1"/>
  <c r="U52" i="1"/>
  <c r="K40" i="3" s="1"/>
  <c r="U51" i="1"/>
  <c r="K39" i="3" s="1"/>
  <c r="U50" i="1"/>
  <c r="K38" i="3" s="1"/>
  <c r="U48" i="1"/>
  <c r="U47" i="1"/>
  <c r="U45" i="1"/>
  <c r="K34" i="3" s="1"/>
  <c r="U38" i="1"/>
  <c r="K28" i="3" s="1"/>
  <c r="U34" i="1"/>
  <c r="K24" i="3" s="1"/>
  <c r="U33" i="1"/>
  <c r="K23" i="3" s="1"/>
  <c r="U28" i="1"/>
  <c r="K19" i="3" s="1"/>
  <c r="U27" i="1"/>
  <c r="K18" i="3" s="1"/>
  <c r="U23" i="1"/>
  <c r="K14" i="3" s="1"/>
  <c r="U19" i="1"/>
  <c r="K10" i="3" s="1"/>
  <c r="U16" i="1"/>
  <c r="K9" i="3" s="1"/>
  <c r="U14" i="1"/>
  <c r="U12" i="1"/>
  <c r="K6" i="3" s="1"/>
  <c r="K3" i="3"/>
  <c r="S137" i="1"/>
  <c r="J111" i="3" s="1"/>
  <c r="S136" i="1"/>
  <c r="J110" i="3" s="1"/>
  <c r="S134" i="1"/>
  <c r="J108" i="3" s="1"/>
  <c r="S133" i="1"/>
  <c r="J107" i="3" s="1"/>
  <c r="S130" i="1"/>
  <c r="J105" i="3" s="1"/>
  <c r="S127" i="1"/>
  <c r="J102" i="3" s="1"/>
  <c r="S126" i="1"/>
  <c r="J101" i="3" s="1"/>
  <c r="S124" i="1"/>
  <c r="J99" i="3" s="1"/>
  <c r="S119" i="1"/>
  <c r="J96" i="3" s="1"/>
  <c r="S117" i="1"/>
  <c r="J94" i="3" s="1"/>
  <c r="S115" i="1"/>
  <c r="J93" i="3" s="1"/>
  <c r="S114" i="1"/>
  <c r="J92" i="3" s="1"/>
  <c r="S107" i="1"/>
  <c r="J88" i="3" s="1"/>
  <c r="S106" i="1"/>
  <c r="J87" i="3" s="1"/>
  <c r="S104" i="1"/>
  <c r="J85" i="3" s="1"/>
  <c r="S103" i="1"/>
  <c r="J84" i="3" s="1"/>
  <c r="S101" i="1"/>
  <c r="J83" i="3" s="1"/>
  <c r="S98" i="1"/>
  <c r="S97" i="1"/>
  <c r="J80" i="3" s="1"/>
  <c r="S96" i="1"/>
  <c r="J79" i="3" s="1"/>
  <c r="S91" i="1"/>
  <c r="J76" i="3" s="1"/>
  <c r="S90" i="1"/>
  <c r="J75" i="3" s="1"/>
  <c r="S89" i="1"/>
  <c r="J74" i="3" s="1"/>
  <c r="S87" i="1"/>
  <c r="J72" i="3" s="1"/>
  <c r="S86" i="1"/>
  <c r="J71" i="3" s="1"/>
  <c r="S85" i="1"/>
  <c r="J70" i="3" s="1"/>
  <c r="S83" i="1"/>
  <c r="S82" i="1"/>
  <c r="J67" i="3" s="1"/>
  <c r="S78" i="1"/>
  <c r="J63" i="3" s="1"/>
  <c r="S76" i="1"/>
  <c r="J62" i="3" s="1"/>
  <c r="S71" i="1"/>
  <c r="J58" i="3" s="1"/>
  <c r="S70" i="1"/>
  <c r="J57" i="3" s="1"/>
  <c r="S66" i="1"/>
  <c r="S64" i="1"/>
  <c r="J52" i="3" s="1"/>
  <c r="S63" i="1"/>
  <c r="S60" i="1"/>
  <c r="J48" i="3" s="1"/>
  <c r="S59" i="1"/>
  <c r="J47" i="3" s="1"/>
  <c r="S58" i="1"/>
  <c r="J46" i="3" s="1"/>
  <c r="S56" i="1"/>
  <c r="S55" i="1"/>
  <c r="J43" i="3" s="1"/>
  <c r="S54" i="1"/>
  <c r="J42" i="3" s="1"/>
  <c r="S52" i="1"/>
  <c r="J40" i="3" s="1"/>
  <c r="S51" i="1"/>
  <c r="J39" i="3" s="1"/>
  <c r="S50" i="1"/>
  <c r="J38" i="3" s="1"/>
  <c r="S48" i="1"/>
  <c r="J36" i="3" s="1"/>
  <c r="S47" i="1"/>
  <c r="J35" i="3" s="1"/>
  <c r="S45" i="1"/>
  <c r="S38" i="1"/>
  <c r="J28" i="3" s="1"/>
  <c r="S34" i="1"/>
  <c r="J24" i="3" s="1"/>
  <c r="S33" i="1"/>
  <c r="S28" i="1"/>
  <c r="S27" i="1"/>
  <c r="J18" i="3" s="1"/>
  <c r="S23" i="1"/>
  <c r="J14" i="3" s="1"/>
  <c r="S19" i="1"/>
  <c r="J10" i="3" s="1"/>
  <c r="S16" i="1"/>
  <c r="S14" i="1"/>
  <c r="J8" i="3" s="1"/>
  <c r="S12" i="1"/>
  <c r="J6" i="3" s="1"/>
  <c r="J3" i="3"/>
  <c r="Q137" i="1"/>
  <c r="I111" i="3" s="1"/>
  <c r="Q136" i="1"/>
  <c r="I110" i="3" s="1"/>
  <c r="Q134" i="1"/>
  <c r="I108" i="3" s="1"/>
  <c r="Q133" i="1"/>
  <c r="I107" i="3" s="1"/>
  <c r="Q130" i="1"/>
  <c r="I105" i="3" s="1"/>
  <c r="Q127" i="1"/>
  <c r="I102" i="3" s="1"/>
  <c r="Q126" i="1"/>
  <c r="I101" i="3" s="1"/>
  <c r="Q124" i="1"/>
  <c r="I99" i="3" s="1"/>
  <c r="Q119" i="1"/>
  <c r="I96" i="3" s="1"/>
  <c r="Q117" i="1"/>
  <c r="I94" i="3" s="1"/>
  <c r="Q115" i="1"/>
  <c r="Q114" i="1"/>
  <c r="I92" i="3" s="1"/>
  <c r="Q107" i="1"/>
  <c r="I88" i="3" s="1"/>
  <c r="Q106" i="1"/>
  <c r="I87" i="3" s="1"/>
  <c r="Q104" i="1"/>
  <c r="I85" i="3" s="1"/>
  <c r="Q103" i="1"/>
  <c r="I84" i="3" s="1"/>
  <c r="Q101" i="1"/>
  <c r="Q98" i="1"/>
  <c r="I81" i="3" s="1"/>
  <c r="Q97" i="1"/>
  <c r="I80" i="3" s="1"/>
  <c r="Q96" i="1"/>
  <c r="I79" i="3" s="1"/>
  <c r="Q91" i="1"/>
  <c r="I76" i="3" s="1"/>
  <c r="Q90" i="1"/>
  <c r="I75" i="3" s="1"/>
  <c r="Q89" i="1"/>
  <c r="I74" i="3" s="1"/>
  <c r="Q87" i="1"/>
  <c r="I72" i="3" s="1"/>
  <c r="Q86" i="1"/>
  <c r="Q85" i="1"/>
  <c r="I70" i="3" s="1"/>
  <c r="Q83" i="1"/>
  <c r="I68" i="3" s="1"/>
  <c r="Q82" i="1"/>
  <c r="I67" i="3" s="1"/>
  <c r="Q78" i="1"/>
  <c r="I63" i="3" s="1"/>
  <c r="Q76" i="1"/>
  <c r="I62" i="3" s="1"/>
  <c r="Q71" i="1"/>
  <c r="I58" i="3" s="1"/>
  <c r="Q70" i="1"/>
  <c r="I57" i="3" s="1"/>
  <c r="Q66" i="1"/>
  <c r="I53" i="3" s="1"/>
  <c r="Q64" i="1"/>
  <c r="I52" i="3" s="1"/>
  <c r="Q63" i="1"/>
  <c r="I51" i="3" s="1"/>
  <c r="Q60" i="1"/>
  <c r="I48" i="3" s="1"/>
  <c r="Q59" i="1"/>
  <c r="I47" i="3" s="1"/>
  <c r="Q58" i="1"/>
  <c r="I46" i="3" s="1"/>
  <c r="Q56" i="1"/>
  <c r="I44" i="3" s="1"/>
  <c r="Q55" i="1"/>
  <c r="I43" i="3" s="1"/>
  <c r="Q54" i="1"/>
  <c r="Q52" i="1"/>
  <c r="I40" i="3" s="1"/>
  <c r="Q51" i="1"/>
  <c r="I39" i="3" s="1"/>
  <c r="Q50" i="1"/>
  <c r="I38" i="3" s="1"/>
  <c r="Q48" i="1"/>
  <c r="I36" i="3" s="1"/>
  <c r="Q47" i="1"/>
  <c r="I35" i="3" s="1"/>
  <c r="Q45" i="1"/>
  <c r="I34" i="3" s="1"/>
  <c r="Q38" i="1"/>
  <c r="I28" i="3" s="1"/>
  <c r="Q34" i="1"/>
  <c r="Q33" i="1"/>
  <c r="I23" i="3" s="1"/>
  <c r="Q28" i="1"/>
  <c r="I19" i="3" s="1"/>
  <c r="Q27" i="1"/>
  <c r="I18" i="3" s="1"/>
  <c r="Q23" i="1"/>
  <c r="I14" i="3" s="1"/>
  <c r="Q19" i="1"/>
  <c r="I10" i="3" s="1"/>
  <c r="Q16" i="1"/>
  <c r="I9" i="3" s="1"/>
  <c r="Q14" i="1"/>
  <c r="I8" i="3" s="1"/>
  <c r="Q12" i="1"/>
  <c r="I3" i="3"/>
  <c r="O137" i="1"/>
  <c r="H111" i="3" s="1"/>
  <c r="O136" i="1"/>
  <c r="H110" i="3" s="1"/>
  <c r="O134" i="1"/>
  <c r="H108" i="3" s="1"/>
  <c r="O133" i="1"/>
  <c r="H107" i="3" s="1"/>
  <c r="O130" i="1"/>
  <c r="H105" i="3" s="1"/>
  <c r="O127" i="1"/>
  <c r="H102" i="3" s="1"/>
  <c r="O126" i="1"/>
  <c r="H101" i="3" s="1"/>
  <c r="O124" i="1"/>
  <c r="H99" i="3" s="1"/>
  <c r="O119" i="1"/>
  <c r="H96" i="3" s="1"/>
  <c r="O117" i="1"/>
  <c r="H94" i="3" s="1"/>
  <c r="O115" i="1"/>
  <c r="H93" i="3" s="1"/>
  <c r="O114" i="1"/>
  <c r="H92" i="3" s="1"/>
  <c r="O107" i="1"/>
  <c r="H88" i="3" s="1"/>
  <c r="O106" i="1"/>
  <c r="H87" i="3" s="1"/>
  <c r="O104" i="1"/>
  <c r="H85" i="3" s="1"/>
  <c r="O103" i="1"/>
  <c r="H84" i="3" s="1"/>
  <c r="O101" i="1"/>
  <c r="H83" i="3" s="1"/>
  <c r="O98" i="1"/>
  <c r="H81" i="3" s="1"/>
  <c r="O97" i="1"/>
  <c r="H80" i="3" s="1"/>
  <c r="O96" i="1"/>
  <c r="H79" i="3" s="1"/>
  <c r="O91" i="1"/>
  <c r="H76" i="3" s="1"/>
  <c r="O90" i="1"/>
  <c r="H75" i="3" s="1"/>
  <c r="O89" i="1"/>
  <c r="H74" i="3" s="1"/>
  <c r="O87" i="1"/>
  <c r="H72" i="3" s="1"/>
  <c r="O86" i="1"/>
  <c r="H71" i="3" s="1"/>
  <c r="O85" i="1"/>
  <c r="H70" i="3" s="1"/>
  <c r="O83" i="1"/>
  <c r="H68" i="3" s="1"/>
  <c r="O82" i="1"/>
  <c r="H67" i="3" s="1"/>
  <c r="O78" i="1"/>
  <c r="H63" i="3" s="1"/>
  <c r="O76" i="1"/>
  <c r="H62" i="3" s="1"/>
  <c r="O71" i="1"/>
  <c r="H58" i="3" s="1"/>
  <c r="O70" i="1"/>
  <c r="H57" i="3" s="1"/>
  <c r="O66" i="1"/>
  <c r="H53" i="3" s="1"/>
  <c r="O64" i="1"/>
  <c r="H52" i="3" s="1"/>
  <c r="O63" i="1"/>
  <c r="H51" i="3" s="1"/>
  <c r="O60" i="1"/>
  <c r="H48" i="3" s="1"/>
  <c r="O59" i="1"/>
  <c r="H47" i="3" s="1"/>
  <c r="O58" i="1"/>
  <c r="H46" i="3" s="1"/>
  <c r="O56" i="1"/>
  <c r="H44" i="3" s="1"/>
  <c r="O55" i="1"/>
  <c r="H43" i="3" s="1"/>
  <c r="O54" i="1"/>
  <c r="H42" i="3" s="1"/>
  <c r="O52" i="1"/>
  <c r="H40" i="3" s="1"/>
  <c r="O51" i="1"/>
  <c r="H39" i="3" s="1"/>
  <c r="O50" i="1"/>
  <c r="H38" i="3" s="1"/>
  <c r="O48" i="1"/>
  <c r="H36" i="3" s="1"/>
  <c r="O47" i="1"/>
  <c r="H35" i="3" s="1"/>
  <c r="O45" i="1"/>
  <c r="H34" i="3" s="1"/>
  <c r="O38" i="1"/>
  <c r="H28" i="3" s="1"/>
  <c r="O34" i="1"/>
  <c r="H24" i="3" s="1"/>
  <c r="O33" i="1"/>
  <c r="H23" i="3" s="1"/>
  <c r="O28" i="1"/>
  <c r="H19" i="3" s="1"/>
  <c r="O27" i="1"/>
  <c r="H18" i="3" s="1"/>
  <c r="O23" i="1"/>
  <c r="H14" i="3" s="1"/>
  <c r="O19" i="1"/>
  <c r="H10" i="3" s="1"/>
  <c r="O16" i="1"/>
  <c r="H9" i="3" s="1"/>
  <c r="O14" i="1"/>
  <c r="H8" i="3" s="1"/>
  <c r="O12" i="1"/>
  <c r="H6" i="3" s="1"/>
  <c r="H3" i="3"/>
  <c r="M137" i="1"/>
  <c r="G111" i="3" s="1"/>
  <c r="M136" i="1"/>
  <c r="G110" i="3" s="1"/>
  <c r="M134" i="1"/>
  <c r="G108" i="3" s="1"/>
  <c r="M133" i="1"/>
  <c r="G107" i="3" s="1"/>
  <c r="M130" i="1"/>
  <c r="G105" i="3" s="1"/>
  <c r="M127" i="1"/>
  <c r="G102" i="3" s="1"/>
  <c r="M126" i="1"/>
  <c r="G101" i="3" s="1"/>
  <c r="M124" i="1"/>
  <c r="G99" i="3" s="1"/>
  <c r="M119" i="1"/>
  <c r="G96" i="3" s="1"/>
  <c r="M117" i="1"/>
  <c r="G94" i="3" s="1"/>
  <c r="M115" i="1"/>
  <c r="G93" i="3" s="1"/>
  <c r="M114" i="1"/>
  <c r="G92" i="3" s="1"/>
  <c r="M107" i="1"/>
  <c r="M106" i="1"/>
  <c r="G87" i="3" s="1"/>
  <c r="M104" i="1"/>
  <c r="G85" i="3" s="1"/>
  <c r="M103" i="1"/>
  <c r="G84" i="3" s="1"/>
  <c r="M101" i="1"/>
  <c r="G83" i="3" s="1"/>
  <c r="M98" i="1"/>
  <c r="G81" i="3" s="1"/>
  <c r="M97" i="1"/>
  <c r="G80" i="3" s="1"/>
  <c r="M96" i="1"/>
  <c r="G79" i="3" s="1"/>
  <c r="M91" i="1"/>
  <c r="G76" i="3" s="1"/>
  <c r="M90" i="1"/>
  <c r="G75" i="3" s="1"/>
  <c r="M89" i="1"/>
  <c r="G74" i="3" s="1"/>
  <c r="M87" i="1"/>
  <c r="G72" i="3" s="1"/>
  <c r="M86" i="1"/>
  <c r="G71" i="3" s="1"/>
  <c r="M85" i="1"/>
  <c r="G70" i="3" s="1"/>
  <c r="M83" i="1"/>
  <c r="G68" i="3" s="1"/>
  <c r="M82" i="1"/>
  <c r="G67" i="3" s="1"/>
  <c r="M78" i="1"/>
  <c r="M76" i="1"/>
  <c r="G62" i="3" s="1"/>
  <c r="M71" i="1"/>
  <c r="G58" i="3" s="1"/>
  <c r="M70" i="1"/>
  <c r="G57" i="3" s="1"/>
  <c r="M66" i="1"/>
  <c r="G53" i="3" s="1"/>
  <c r="M64" i="1"/>
  <c r="G52" i="3" s="1"/>
  <c r="M63" i="1"/>
  <c r="G51" i="3" s="1"/>
  <c r="M60" i="1"/>
  <c r="G48" i="3" s="1"/>
  <c r="M59" i="1"/>
  <c r="G47" i="3" s="1"/>
  <c r="M58" i="1"/>
  <c r="G46" i="3" s="1"/>
  <c r="M56" i="1"/>
  <c r="G44" i="3" s="1"/>
  <c r="M55" i="1"/>
  <c r="G43" i="3" s="1"/>
  <c r="M54" i="1"/>
  <c r="G42" i="3" s="1"/>
  <c r="M52" i="1"/>
  <c r="G40" i="3" s="1"/>
  <c r="M51" i="1"/>
  <c r="G39" i="3" s="1"/>
  <c r="M50" i="1"/>
  <c r="G38" i="3" s="1"/>
  <c r="M48" i="1"/>
  <c r="G36" i="3" s="1"/>
  <c r="M47" i="1"/>
  <c r="G35" i="3" s="1"/>
  <c r="M45" i="1"/>
  <c r="G34" i="3" s="1"/>
  <c r="M38" i="1"/>
  <c r="G28" i="3" s="1"/>
  <c r="M34" i="1"/>
  <c r="G24" i="3" s="1"/>
  <c r="M33" i="1"/>
  <c r="G23" i="3" s="1"/>
  <c r="M28" i="1"/>
  <c r="G19" i="3" s="1"/>
  <c r="M27" i="1"/>
  <c r="G18" i="3" s="1"/>
  <c r="M23" i="1"/>
  <c r="G14" i="3" s="1"/>
  <c r="M19" i="1"/>
  <c r="G10" i="3" s="1"/>
  <c r="M16" i="1"/>
  <c r="G9" i="3" s="1"/>
  <c r="M14" i="1"/>
  <c r="G8" i="3" s="1"/>
  <c r="M12" i="1"/>
  <c r="G6" i="3" s="1"/>
  <c r="G3" i="3"/>
  <c r="K137" i="1"/>
  <c r="F111" i="3" s="1"/>
  <c r="K136" i="1"/>
  <c r="F110" i="3" s="1"/>
  <c r="K134" i="1"/>
  <c r="F108" i="3" s="1"/>
  <c r="K133" i="1"/>
  <c r="F107" i="3" s="1"/>
  <c r="K130" i="1"/>
  <c r="F105" i="3" s="1"/>
  <c r="K127" i="1"/>
  <c r="F102" i="3" s="1"/>
  <c r="K126" i="1"/>
  <c r="F101" i="3" s="1"/>
  <c r="K124" i="1"/>
  <c r="F99" i="3" s="1"/>
  <c r="K119" i="1"/>
  <c r="F96" i="3" s="1"/>
  <c r="K117" i="1"/>
  <c r="F94" i="3" s="1"/>
  <c r="K115" i="1"/>
  <c r="F93" i="3" s="1"/>
  <c r="K114" i="1"/>
  <c r="F92" i="3" s="1"/>
  <c r="K107" i="1"/>
  <c r="F88" i="3" s="1"/>
  <c r="K104" i="1"/>
  <c r="F85" i="3" s="1"/>
  <c r="K103" i="1"/>
  <c r="K101" i="1"/>
  <c r="F83" i="3" s="1"/>
  <c r="K98" i="1"/>
  <c r="F81" i="3" s="1"/>
  <c r="K97" i="1"/>
  <c r="F80" i="3" s="1"/>
  <c r="K96" i="1"/>
  <c r="F79" i="3" s="1"/>
  <c r="K91" i="1"/>
  <c r="F76" i="3" s="1"/>
  <c r="K89" i="1"/>
  <c r="F74" i="3" s="1"/>
  <c r="K86" i="1"/>
  <c r="F71" i="3" s="1"/>
  <c r="K83" i="1"/>
  <c r="F68" i="3" s="1"/>
  <c r="K82" i="1"/>
  <c r="F67" i="3" s="1"/>
  <c r="K76" i="1"/>
  <c r="F62" i="3" s="1"/>
  <c r="K71" i="1"/>
  <c r="F58" i="3" s="1"/>
  <c r="K66" i="1"/>
  <c r="F53" i="3" s="1"/>
  <c r="K64" i="1"/>
  <c r="F52" i="3" s="1"/>
  <c r="K63" i="1"/>
  <c r="F51" i="3" s="1"/>
  <c r="K55" i="1"/>
  <c r="F43" i="3" s="1"/>
  <c r="K52" i="1"/>
  <c r="F40" i="3" s="1"/>
  <c r="K51" i="1"/>
  <c r="F39" i="3" s="1"/>
  <c r="K50" i="1"/>
  <c r="F38" i="3" s="1"/>
  <c r="K48" i="1"/>
  <c r="F36" i="3" s="1"/>
  <c r="K47" i="1"/>
  <c r="F35" i="3" s="1"/>
  <c r="K38" i="1"/>
  <c r="K33" i="1"/>
  <c r="F23" i="3" s="1"/>
  <c r="K28" i="1"/>
  <c r="K27" i="1"/>
  <c r="F18" i="3" s="1"/>
  <c r="K23" i="1"/>
  <c r="F14" i="3" s="1"/>
  <c r="K19" i="1"/>
  <c r="F10" i="3" s="1"/>
  <c r="K16" i="1"/>
  <c r="F9" i="3" s="1"/>
  <c r="K14" i="1"/>
  <c r="F8" i="3" s="1"/>
  <c r="K12" i="1"/>
  <c r="F6" i="3" s="1"/>
  <c r="K9" i="1"/>
  <c r="F3" i="3" s="1"/>
  <c r="I137" i="1"/>
  <c r="E111" i="3" s="1"/>
  <c r="I136" i="1"/>
  <c r="E110" i="3" s="1"/>
  <c r="I134" i="1"/>
  <c r="E108" i="3" s="1"/>
  <c r="I133" i="1"/>
  <c r="E107" i="3" s="1"/>
  <c r="I130" i="1"/>
  <c r="I127" i="1"/>
  <c r="E102" i="3" s="1"/>
  <c r="I126" i="1"/>
  <c r="E101" i="3" s="1"/>
  <c r="I124" i="1"/>
  <c r="E99" i="3" s="1"/>
  <c r="I119" i="1"/>
  <c r="E96" i="3" s="1"/>
  <c r="I117" i="1"/>
  <c r="E94" i="3" s="1"/>
  <c r="I115" i="1"/>
  <c r="E93" i="3" s="1"/>
  <c r="I114" i="1"/>
  <c r="E92" i="3" s="1"/>
  <c r="I107" i="1"/>
  <c r="E88" i="3" s="1"/>
  <c r="I106" i="1"/>
  <c r="E87" i="3" s="1"/>
  <c r="I104" i="1"/>
  <c r="E85" i="3" s="1"/>
  <c r="I103" i="1"/>
  <c r="E84" i="3" s="1"/>
  <c r="I98" i="1"/>
  <c r="E81" i="3" s="1"/>
  <c r="I96" i="1"/>
  <c r="E79" i="3" s="1"/>
  <c r="I91" i="1"/>
  <c r="E76" i="3" s="1"/>
  <c r="I89" i="1"/>
  <c r="E74" i="3" s="1"/>
  <c r="I87" i="1"/>
  <c r="E72" i="3" s="1"/>
  <c r="I86" i="1"/>
  <c r="E71" i="3" s="1"/>
  <c r="I85" i="1"/>
  <c r="E70" i="3" s="1"/>
  <c r="I83" i="1"/>
  <c r="E68" i="3" s="1"/>
  <c r="I82" i="1"/>
  <c r="E67" i="3" s="1"/>
  <c r="I78" i="1"/>
  <c r="E63" i="3" s="1"/>
  <c r="I76" i="1"/>
  <c r="E62" i="3" s="1"/>
  <c r="I71" i="1"/>
  <c r="E58" i="3" s="1"/>
  <c r="I70" i="1"/>
  <c r="E57" i="3" s="1"/>
  <c r="I66" i="1"/>
  <c r="E53" i="3" s="1"/>
  <c r="I64" i="1"/>
  <c r="E52" i="3" s="1"/>
  <c r="I63" i="1"/>
  <c r="E51" i="3" s="1"/>
  <c r="I60" i="1"/>
  <c r="E48" i="3" s="1"/>
  <c r="I59" i="1"/>
  <c r="E47" i="3" s="1"/>
  <c r="I55" i="1"/>
  <c r="E43" i="3" s="1"/>
  <c r="I52" i="1"/>
  <c r="E40" i="3" s="1"/>
  <c r="I51" i="1"/>
  <c r="I50" i="1"/>
  <c r="E38" i="3" s="1"/>
  <c r="I48" i="1"/>
  <c r="E36" i="3" s="1"/>
  <c r="I47" i="1"/>
  <c r="E35" i="3" s="1"/>
  <c r="I45" i="1"/>
  <c r="E34" i="3" s="1"/>
  <c r="I38" i="1"/>
  <c r="E28" i="3" s="1"/>
  <c r="I33" i="1"/>
  <c r="E23" i="3" s="1"/>
  <c r="I31" i="1"/>
  <c r="E22" i="3" s="1"/>
  <c r="I27" i="1"/>
  <c r="I23" i="1"/>
  <c r="E14" i="3" s="1"/>
  <c r="I19" i="1"/>
  <c r="E10" i="3" s="1"/>
  <c r="I16" i="1"/>
  <c r="E9" i="3" s="1"/>
  <c r="I14" i="1"/>
  <c r="I12" i="1"/>
  <c r="E6" i="3" s="1"/>
  <c r="I9" i="1"/>
  <c r="E3" i="3" s="1"/>
  <c r="G137" i="1"/>
  <c r="D111" i="3" s="1"/>
  <c r="G136" i="1"/>
  <c r="D110" i="3" s="1"/>
  <c r="G134" i="1"/>
  <c r="D108" i="3" s="1"/>
  <c r="G133" i="1"/>
  <c r="D107" i="3" s="1"/>
  <c r="G130" i="1"/>
  <c r="D105" i="3" s="1"/>
  <c r="G127" i="1"/>
  <c r="D102" i="3" s="1"/>
  <c r="G126" i="1"/>
  <c r="D101" i="3" s="1"/>
  <c r="G124" i="1"/>
  <c r="D99" i="3" s="1"/>
  <c r="G119" i="1"/>
  <c r="D96" i="3" s="1"/>
  <c r="G117" i="1"/>
  <c r="D94" i="3" s="1"/>
  <c r="G115" i="1"/>
  <c r="D93" i="3" s="1"/>
  <c r="G114" i="1"/>
  <c r="D92" i="3" s="1"/>
  <c r="G107" i="1"/>
  <c r="D88" i="3" s="1"/>
  <c r="G106" i="1"/>
  <c r="D87" i="3" s="1"/>
  <c r="G104" i="1"/>
  <c r="D85" i="3" s="1"/>
  <c r="G103" i="1"/>
  <c r="D84" i="3" s="1"/>
  <c r="G101" i="1"/>
  <c r="D83" i="3" s="1"/>
  <c r="G97" i="1"/>
  <c r="D80" i="3" s="1"/>
  <c r="G96" i="1"/>
  <c r="D79" i="3" s="1"/>
  <c r="G91" i="1"/>
  <c r="D76" i="3" s="1"/>
  <c r="G82" i="1"/>
  <c r="D67" i="3" s="1"/>
  <c r="G76" i="1"/>
  <c r="D62" i="3" s="1"/>
  <c r="G71" i="1"/>
  <c r="D58" i="3" s="1"/>
  <c r="G70" i="1"/>
  <c r="D57" i="3" s="1"/>
  <c r="G66" i="1"/>
  <c r="D53" i="3" s="1"/>
  <c r="G63" i="1"/>
  <c r="D51" i="3" s="1"/>
  <c r="G58" i="1"/>
  <c r="D46" i="3" s="1"/>
  <c r="G56" i="1"/>
  <c r="D44" i="3" s="1"/>
  <c r="G55" i="1"/>
  <c r="D43" i="3" s="1"/>
  <c r="G52" i="1"/>
  <c r="G51" i="1"/>
  <c r="D39" i="3" s="1"/>
  <c r="G50" i="1"/>
  <c r="D38" i="3" s="1"/>
  <c r="G48" i="1"/>
  <c r="D36" i="3" s="1"/>
  <c r="G47" i="1"/>
  <c r="D35" i="3" s="1"/>
  <c r="G45" i="1"/>
  <c r="D34" i="3" s="1"/>
  <c r="G33" i="1"/>
  <c r="D23" i="3" s="1"/>
  <c r="G28" i="1"/>
  <c r="D19" i="3" s="1"/>
  <c r="G23" i="1"/>
  <c r="D14" i="3" s="1"/>
  <c r="G19" i="1"/>
  <c r="D10" i="3" s="1"/>
  <c r="G16" i="1"/>
  <c r="D9" i="3" s="1"/>
  <c r="G14" i="1"/>
  <c r="D8" i="3" s="1"/>
  <c r="G12" i="1"/>
  <c r="D6" i="3" s="1"/>
  <c r="G9" i="1"/>
  <c r="D3" i="3" s="1"/>
  <c r="E10" i="1"/>
  <c r="C4" i="3" s="1"/>
  <c r="E137" i="1"/>
  <c r="C111" i="3" s="1"/>
  <c r="E136" i="1"/>
  <c r="E134" i="1"/>
  <c r="C108" i="3" s="1"/>
  <c r="E133" i="1"/>
  <c r="C107" i="3" s="1"/>
  <c r="E130" i="1"/>
  <c r="C105" i="3" s="1"/>
  <c r="E127" i="1"/>
  <c r="C102" i="3" s="1"/>
  <c r="E126" i="1"/>
  <c r="C101" i="3" s="1"/>
  <c r="E124" i="1"/>
  <c r="C99" i="3" s="1"/>
  <c r="E119" i="1"/>
  <c r="C96" i="3" s="1"/>
  <c r="E117" i="1"/>
  <c r="C94" i="3" s="1"/>
  <c r="E115" i="1"/>
  <c r="C93" i="3" s="1"/>
  <c r="E107" i="1"/>
  <c r="C88" i="3" s="1"/>
  <c r="E106" i="1"/>
  <c r="C87" i="3" s="1"/>
  <c r="E104" i="1"/>
  <c r="C85" i="3" s="1"/>
  <c r="E103" i="1"/>
  <c r="C84" i="3" s="1"/>
  <c r="E101" i="1"/>
  <c r="C83" i="3" s="1"/>
  <c r="E97" i="1"/>
  <c r="C80" i="3" s="1"/>
  <c r="E96" i="1"/>
  <c r="E91" i="1"/>
  <c r="C76" i="3" s="1"/>
  <c r="E90" i="1"/>
  <c r="C75" i="3" s="1"/>
  <c r="E89" i="1"/>
  <c r="C74" i="3" s="1"/>
  <c r="E87" i="1"/>
  <c r="C72" i="3" s="1"/>
  <c r="E86" i="1"/>
  <c r="C71" i="3" s="1"/>
  <c r="E85" i="1"/>
  <c r="C70" i="3" s="1"/>
  <c r="E82" i="1"/>
  <c r="C67" i="3" s="1"/>
  <c r="E76" i="1"/>
  <c r="C62" i="3" s="1"/>
  <c r="E70" i="1"/>
  <c r="C57" i="3" s="1"/>
  <c r="E66" i="1"/>
  <c r="C53" i="3" s="1"/>
  <c r="E64" i="1"/>
  <c r="C52" i="3" s="1"/>
  <c r="E63" i="1"/>
  <c r="C51" i="3" s="1"/>
  <c r="E59" i="1"/>
  <c r="C47" i="3" s="1"/>
  <c r="E58" i="1"/>
  <c r="C46" i="3" s="1"/>
  <c r="E56" i="1"/>
  <c r="C44" i="3" s="1"/>
  <c r="E54" i="1"/>
  <c r="C42" i="3" s="1"/>
  <c r="E51" i="1"/>
  <c r="C39" i="3" s="1"/>
  <c r="E38" i="1"/>
  <c r="C28" i="3" s="1"/>
  <c r="E33" i="1"/>
  <c r="C23" i="3" s="1"/>
  <c r="E28" i="1"/>
  <c r="C19" i="3" s="1"/>
  <c r="E27" i="1"/>
  <c r="C18" i="3" s="1"/>
  <c r="E23" i="1"/>
  <c r="C14" i="3" s="1"/>
  <c r="E19" i="1"/>
  <c r="C10" i="3" s="1"/>
  <c r="E16" i="1"/>
  <c r="C9" i="3" s="1"/>
  <c r="E14" i="1"/>
  <c r="C8" i="3" s="1"/>
  <c r="E9" i="1"/>
  <c r="C3" i="3" s="1"/>
  <c r="AA22" i="1"/>
  <c r="AC22" i="1" s="1"/>
  <c r="AD22" i="1"/>
  <c r="C136" i="1"/>
  <c r="B110" i="3" s="1"/>
  <c r="C134" i="1"/>
  <c r="B108" i="3" s="1"/>
  <c r="C133" i="1"/>
  <c r="B107" i="3" s="1"/>
  <c r="C130" i="1"/>
  <c r="B105" i="3" s="1"/>
  <c r="C127" i="1"/>
  <c r="B102" i="3" s="1"/>
  <c r="C126" i="1"/>
  <c r="B101" i="3" s="1"/>
  <c r="C124" i="1"/>
  <c r="B99" i="3" s="1"/>
  <c r="C115" i="1"/>
  <c r="B93" i="3" s="1"/>
  <c r="C114" i="1"/>
  <c r="C106" i="1"/>
  <c r="B87" i="3" s="1"/>
  <c r="C104" i="1"/>
  <c r="B85" i="3" s="1"/>
  <c r="C103" i="1"/>
  <c r="B84" i="3" s="1"/>
  <c r="C101" i="1"/>
  <c r="B83" i="3" s="1"/>
  <c r="C98" i="1"/>
  <c r="B81" i="3" s="1"/>
  <c r="C97" i="1"/>
  <c r="B80" i="3" s="1"/>
  <c r="C96" i="1"/>
  <c r="B79" i="3" s="1"/>
  <c r="C86" i="1"/>
  <c r="B71" i="3" s="1"/>
  <c r="C76" i="1"/>
  <c r="B62" i="3" s="1"/>
  <c r="C67" i="1"/>
  <c r="B54" i="3" s="1"/>
  <c r="C66" i="1"/>
  <c r="B53" i="3" s="1"/>
  <c r="C64" i="1"/>
  <c r="B52" i="3" s="1"/>
  <c r="C63" i="1"/>
  <c r="B51" i="3" s="1"/>
  <c r="C56" i="1"/>
  <c r="B44" i="3" s="1"/>
  <c r="C55" i="1"/>
  <c r="B43" i="3" s="1"/>
  <c r="C51" i="1"/>
  <c r="B39" i="3" s="1"/>
  <c r="C50" i="1"/>
  <c r="B38" i="3" s="1"/>
  <c r="C49" i="1"/>
  <c r="B37" i="3" s="1"/>
  <c r="C48" i="1"/>
  <c r="B36" i="3" s="1"/>
  <c r="C47" i="1"/>
  <c r="B35" i="3" s="1"/>
  <c r="C38" i="1"/>
  <c r="B28" i="3" s="1"/>
  <c r="C33" i="1"/>
  <c r="B23" i="3" s="1"/>
  <c r="C27" i="1"/>
  <c r="B18" i="3" s="1"/>
  <c r="C23" i="1"/>
  <c r="B14" i="3" s="1"/>
  <c r="C19" i="1"/>
  <c r="B10" i="3" s="1"/>
  <c r="C16" i="1"/>
  <c r="B9" i="3" s="1"/>
  <c r="C14" i="1"/>
  <c r="B8" i="3" s="1"/>
  <c r="C12" i="1"/>
  <c r="B6" i="3" s="1"/>
  <c r="C9" i="1"/>
  <c r="B3" i="3" s="1"/>
  <c r="AA136" i="1"/>
  <c r="AA135" i="1"/>
  <c r="AA134" i="1"/>
  <c r="AC134" i="1" s="1"/>
  <c r="AA133" i="1"/>
  <c r="AD133" i="1" s="1"/>
  <c r="AA132" i="1"/>
  <c r="AC132" i="1" s="1"/>
  <c r="AA130" i="1"/>
  <c r="AA129" i="1"/>
  <c r="AC129" i="1" s="1"/>
  <c r="AC127" i="1"/>
  <c r="AA126" i="1"/>
  <c r="AA125" i="1"/>
  <c r="AD125" i="1" s="1"/>
  <c r="AA124" i="1"/>
  <c r="AC124" i="1" s="1"/>
  <c r="AA123" i="1"/>
  <c r="AC123" i="1" s="1"/>
  <c r="AA118" i="1"/>
  <c r="AC118" i="1" s="1"/>
  <c r="AA104" i="1"/>
  <c r="AC104" i="1" s="1"/>
  <c r="AA103" i="1"/>
  <c r="AC103" i="1" s="1"/>
  <c r="AA96" i="1"/>
  <c r="AC96" i="1" s="1"/>
  <c r="AA95" i="1"/>
  <c r="AC95" i="1" s="1"/>
  <c r="AA76" i="1"/>
  <c r="AC76" i="1" s="1"/>
  <c r="AA75" i="1"/>
  <c r="AC75" i="1" s="1"/>
  <c r="AA69" i="1"/>
  <c r="AC69" i="1" s="1"/>
  <c r="AA67" i="1"/>
  <c r="AC67" i="1" s="1"/>
  <c r="AD64" i="1"/>
  <c r="AD63" i="1"/>
  <c r="AA62" i="1"/>
  <c r="AC62" i="1" s="1"/>
  <c r="AA51" i="1"/>
  <c r="AC51" i="1" s="1"/>
  <c r="AC49" i="1"/>
  <c r="AA44" i="1"/>
  <c r="AC44" i="1" s="1"/>
  <c r="AA43" i="1"/>
  <c r="AA36" i="1"/>
  <c r="AC36" i="1" s="1"/>
  <c r="AA33" i="1"/>
  <c r="AD33" i="1" s="1"/>
  <c r="AC31" i="1"/>
  <c r="AA30" i="1"/>
  <c r="AC30" i="1" s="1"/>
  <c r="AA26" i="1"/>
  <c r="AC26" i="1" s="1"/>
  <c r="AA25" i="1"/>
  <c r="AD23" i="1"/>
  <c r="AD16" i="1"/>
  <c r="AA11" i="1"/>
  <c r="AC11" i="1" s="1"/>
  <c r="AA8" i="1"/>
  <c r="AC8" i="1" s="1"/>
  <c r="AD132" i="1"/>
  <c r="AD123" i="1"/>
  <c r="AD112" i="1"/>
  <c r="AD95" i="1"/>
  <c r="AD81" i="1"/>
  <c r="AD75" i="1"/>
  <c r="AD69" i="1"/>
  <c r="AD62" i="1"/>
  <c r="AD44" i="1"/>
  <c r="AD36" i="1"/>
  <c r="AD30" i="1"/>
  <c r="AD26" i="1"/>
  <c r="AD11" i="1"/>
  <c r="AD8" i="1"/>
  <c r="M115" i="5"/>
  <c r="L115" i="5"/>
  <c r="K115" i="5"/>
  <c r="J115" i="5"/>
  <c r="I115" i="5"/>
  <c r="H115" i="5"/>
  <c r="M114" i="5"/>
  <c r="L114" i="5"/>
  <c r="K114" i="5"/>
  <c r="J114" i="5"/>
  <c r="I114" i="5"/>
  <c r="H114" i="5"/>
  <c r="M113" i="5"/>
  <c r="L113" i="5"/>
  <c r="K113" i="5"/>
  <c r="J113" i="5"/>
  <c r="I113" i="5"/>
  <c r="H113" i="5"/>
  <c r="G113" i="5"/>
  <c r="M112" i="5"/>
  <c r="L112" i="5"/>
  <c r="K112" i="5"/>
  <c r="J112" i="5"/>
  <c r="I112" i="5"/>
  <c r="H112" i="5"/>
  <c r="G112" i="5"/>
  <c r="M111" i="5"/>
  <c r="L111" i="5"/>
  <c r="K111" i="5"/>
  <c r="J111" i="5"/>
  <c r="I111" i="5"/>
  <c r="H111" i="5"/>
  <c r="G111" i="5"/>
  <c r="F111" i="5"/>
  <c r="E111" i="5"/>
  <c r="D111" i="5"/>
  <c r="C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M107" i="5"/>
  <c r="L107" i="5"/>
  <c r="K107" i="5"/>
  <c r="J107" i="5"/>
  <c r="I107" i="5"/>
  <c r="H107" i="5"/>
  <c r="G107" i="5"/>
  <c r="F107" i="5"/>
  <c r="E107" i="5"/>
  <c r="D107" i="5"/>
  <c r="C107" i="5"/>
  <c r="B107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M104" i="5"/>
  <c r="L104" i="5"/>
  <c r="K104" i="5"/>
  <c r="J104" i="5"/>
  <c r="I104" i="5"/>
  <c r="H104" i="5"/>
  <c r="G104" i="5"/>
  <c r="F104" i="5"/>
  <c r="E104" i="5"/>
  <c r="D104" i="5"/>
  <c r="C104" i="5"/>
  <c r="B104" i="5"/>
  <c r="M103" i="5"/>
  <c r="L103" i="5"/>
  <c r="K103" i="5"/>
  <c r="J103" i="5"/>
  <c r="I103" i="5"/>
  <c r="H103" i="5"/>
  <c r="G103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M101" i="5"/>
  <c r="L101" i="5"/>
  <c r="K101" i="5"/>
  <c r="J101" i="5"/>
  <c r="I101" i="5"/>
  <c r="H101" i="5"/>
  <c r="G101" i="5"/>
  <c r="F101" i="5"/>
  <c r="E101" i="5"/>
  <c r="D101" i="5"/>
  <c r="C101" i="5"/>
  <c r="B101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M99" i="5"/>
  <c r="L99" i="5"/>
  <c r="K99" i="5"/>
  <c r="J99" i="5"/>
  <c r="I99" i="5"/>
  <c r="H99" i="5"/>
  <c r="G99" i="5"/>
  <c r="F99" i="5"/>
  <c r="E99" i="5"/>
  <c r="D99" i="5"/>
  <c r="C99" i="5"/>
  <c r="B99" i="5"/>
  <c r="M98" i="5"/>
  <c r="L98" i="5"/>
  <c r="K98" i="5"/>
  <c r="J98" i="5"/>
  <c r="I98" i="5"/>
  <c r="H98" i="5"/>
  <c r="G98" i="5"/>
  <c r="F98" i="5"/>
  <c r="E98" i="5"/>
  <c r="D98" i="5"/>
  <c r="C98" i="5"/>
  <c r="B98" i="5"/>
  <c r="M97" i="5"/>
  <c r="L97" i="5"/>
  <c r="K97" i="5"/>
  <c r="J97" i="5"/>
  <c r="I97" i="5"/>
  <c r="H97" i="5"/>
  <c r="G97" i="5"/>
  <c r="M96" i="5"/>
  <c r="L96" i="5"/>
  <c r="K96" i="5"/>
  <c r="J96" i="5"/>
  <c r="I96" i="5"/>
  <c r="H96" i="5"/>
  <c r="G96" i="5"/>
  <c r="F96" i="5"/>
  <c r="E96" i="5"/>
  <c r="D96" i="5"/>
  <c r="C96" i="5"/>
  <c r="M95" i="5"/>
  <c r="L95" i="5"/>
  <c r="K95" i="5"/>
  <c r="J95" i="5"/>
  <c r="I95" i="5"/>
  <c r="H95" i="5"/>
  <c r="G95" i="5"/>
  <c r="F95" i="5"/>
  <c r="E95" i="5"/>
  <c r="D95" i="5"/>
  <c r="C95" i="5"/>
  <c r="B95" i="5"/>
  <c r="M94" i="5"/>
  <c r="L94" i="5"/>
  <c r="K94" i="5"/>
  <c r="J94" i="5"/>
  <c r="I94" i="5"/>
  <c r="H94" i="5"/>
  <c r="G94" i="5"/>
  <c r="F94" i="5"/>
  <c r="E94" i="5"/>
  <c r="D94" i="5"/>
  <c r="C94" i="5"/>
  <c r="M93" i="5"/>
  <c r="L93" i="5"/>
  <c r="K93" i="5"/>
  <c r="J93" i="5"/>
  <c r="I93" i="5"/>
  <c r="H93" i="5"/>
  <c r="G93" i="5"/>
  <c r="F93" i="5"/>
  <c r="E93" i="5"/>
  <c r="D93" i="5"/>
  <c r="C93" i="5"/>
  <c r="B93" i="5"/>
  <c r="M92" i="5"/>
  <c r="L92" i="5"/>
  <c r="K92" i="5"/>
  <c r="J92" i="5"/>
  <c r="I92" i="5"/>
  <c r="H92" i="5"/>
  <c r="G92" i="5"/>
  <c r="F92" i="5"/>
  <c r="E92" i="5"/>
  <c r="D92" i="5"/>
  <c r="B92" i="5"/>
  <c r="M91" i="5"/>
  <c r="L91" i="5"/>
  <c r="K91" i="5"/>
  <c r="J91" i="5"/>
  <c r="I91" i="5"/>
  <c r="H91" i="5"/>
  <c r="G91" i="5"/>
  <c r="E91" i="5"/>
  <c r="C91" i="5"/>
  <c r="M90" i="5"/>
  <c r="L90" i="5"/>
  <c r="K90" i="5"/>
  <c r="J90" i="5"/>
  <c r="I90" i="5"/>
  <c r="H90" i="5"/>
  <c r="G90" i="5"/>
  <c r="F90" i="5"/>
  <c r="E90" i="5"/>
  <c r="D90" i="5"/>
  <c r="C90" i="5"/>
  <c r="M89" i="5"/>
  <c r="L89" i="5"/>
  <c r="K89" i="5"/>
  <c r="J89" i="5"/>
  <c r="I89" i="5"/>
  <c r="H89" i="5"/>
  <c r="G89" i="5"/>
  <c r="M88" i="5"/>
  <c r="L88" i="5"/>
  <c r="K88" i="5"/>
  <c r="J88" i="5"/>
  <c r="I88" i="5"/>
  <c r="H88" i="5"/>
  <c r="G88" i="5"/>
  <c r="F88" i="5"/>
  <c r="E88" i="5"/>
  <c r="D88" i="5"/>
  <c r="C88" i="5"/>
  <c r="M87" i="5"/>
  <c r="L87" i="5"/>
  <c r="K87" i="5"/>
  <c r="J87" i="5"/>
  <c r="I87" i="5"/>
  <c r="H87" i="5"/>
  <c r="G87" i="5"/>
  <c r="E87" i="5"/>
  <c r="D87" i="5"/>
  <c r="C87" i="5"/>
  <c r="B87" i="5"/>
  <c r="M86" i="5"/>
  <c r="L86" i="5"/>
  <c r="K86" i="5"/>
  <c r="J86" i="5"/>
  <c r="I86" i="5"/>
  <c r="H86" i="5"/>
  <c r="G86" i="5"/>
  <c r="F86" i="5"/>
  <c r="E86" i="5"/>
  <c r="D86" i="5"/>
  <c r="C86" i="5"/>
  <c r="B86" i="5"/>
  <c r="M85" i="5"/>
  <c r="L85" i="5"/>
  <c r="K85" i="5"/>
  <c r="J85" i="5"/>
  <c r="I85" i="5"/>
  <c r="H85" i="5"/>
  <c r="G85" i="5"/>
  <c r="F85" i="5"/>
  <c r="E85" i="5"/>
  <c r="D85" i="5"/>
  <c r="C85" i="5"/>
  <c r="B85" i="5"/>
  <c r="M84" i="5"/>
  <c r="L84" i="5"/>
  <c r="K84" i="5"/>
  <c r="J84" i="5"/>
  <c r="I84" i="5"/>
  <c r="H84" i="5"/>
  <c r="G84" i="5"/>
  <c r="F84" i="5"/>
  <c r="E84" i="5"/>
  <c r="D84" i="5"/>
  <c r="C84" i="5"/>
  <c r="B84" i="5"/>
  <c r="M83" i="5"/>
  <c r="L83" i="5"/>
  <c r="K83" i="5"/>
  <c r="J83" i="5"/>
  <c r="I83" i="5"/>
  <c r="H83" i="5"/>
  <c r="G83" i="5"/>
  <c r="F83" i="5"/>
  <c r="E83" i="5"/>
  <c r="D83" i="5"/>
  <c r="B83" i="5"/>
  <c r="M82" i="5"/>
  <c r="L82" i="5"/>
  <c r="K82" i="5"/>
  <c r="J82" i="5"/>
  <c r="I82" i="5"/>
  <c r="H82" i="5"/>
  <c r="G82" i="5"/>
  <c r="D82" i="5"/>
  <c r="M81" i="5"/>
  <c r="L81" i="5"/>
  <c r="K81" i="5"/>
  <c r="J81" i="5"/>
  <c r="I81" i="5"/>
  <c r="H81" i="5"/>
  <c r="G81" i="5"/>
  <c r="F81" i="5"/>
  <c r="E81" i="5"/>
  <c r="C81" i="5"/>
  <c r="M80" i="5"/>
  <c r="L80" i="5"/>
  <c r="K80" i="5"/>
  <c r="J80" i="5"/>
  <c r="I80" i="5"/>
  <c r="H80" i="5"/>
  <c r="G80" i="5"/>
  <c r="F80" i="5"/>
  <c r="D80" i="5"/>
  <c r="C80" i="5"/>
  <c r="B80" i="5"/>
  <c r="M79" i="5"/>
  <c r="L79" i="5"/>
  <c r="K79" i="5"/>
  <c r="J79" i="5"/>
  <c r="I79" i="5"/>
  <c r="H79" i="5"/>
  <c r="G79" i="5"/>
  <c r="F79" i="5"/>
  <c r="E79" i="5"/>
  <c r="D79" i="5"/>
  <c r="C79" i="5"/>
  <c r="B79" i="5"/>
  <c r="M78" i="5"/>
  <c r="L78" i="5"/>
  <c r="K78" i="5"/>
  <c r="J78" i="5"/>
  <c r="I78" i="5"/>
  <c r="H78" i="5"/>
  <c r="G78" i="5"/>
  <c r="F78" i="5"/>
  <c r="E78" i="5"/>
  <c r="D78" i="5"/>
  <c r="C78" i="5"/>
  <c r="B78" i="5"/>
  <c r="M77" i="5"/>
  <c r="L77" i="5"/>
  <c r="K77" i="5"/>
  <c r="J77" i="5"/>
  <c r="I77" i="5"/>
  <c r="H77" i="5"/>
  <c r="G77" i="5"/>
  <c r="M76" i="5"/>
  <c r="L76" i="5"/>
  <c r="K76" i="5"/>
  <c r="J76" i="5"/>
  <c r="I76" i="5"/>
  <c r="H76" i="5"/>
  <c r="G76" i="5"/>
  <c r="F76" i="5"/>
  <c r="E76" i="5"/>
  <c r="D76" i="5"/>
  <c r="C76" i="5"/>
  <c r="M75" i="5"/>
  <c r="L75" i="5"/>
  <c r="K75" i="5"/>
  <c r="J75" i="5"/>
  <c r="I75" i="5"/>
  <c r="H75" i="5"/>
  <c r="G75" i="5"/>
  <c r="M74" i="5"/>
  <c r="L74" i="5"/>
  <c r="K74" i="5"/>
  <c r="J74" i="5"/>
  <c r="I74" i="5"/>
  <c r="H74" i="5"/>
  <c r="G74" i="5"/>
  <c r="E74" i="5"/>
  <c r="C74" i="5"/>
  <c r="M73" i="5"/>
  <c r="L73" i="5"/>
  <c r="K73" i="5"/>
  <c r="J73" i="5"/>
  <c r="I73" i="5"/>
  <c r="H73" i="5"/>
  <c r="G73" i="5"/>
  <c r="F73" i="5"/>
  <c r="E73" i="5"/>
  <c r="D73" i="5"/>
  <c r="M72" i="5"/>
  <c r="L72" i="5"/>
  <c r="K72" i="5"/>
  <c r="J72" i="5"/>
  <c r="I72" i="5"/>
  <c r="H72" i="5"/>
  <c r="G72" i="5"/>
  <c r="E72" i="5"/>
  <c r="M71" i="5"/>
  <c r="L71" i="5"/>
  <c r="K71" i="5"/>
  <c r="J71" i="5"/>
  <c r="I71" i="5"/>
  <c r="H71" i="5"/>
  <c r="G71" i="5"/>
  <c r="F71" i="5"/>
  <c r="E71" i="5"/>
  <c r="C71" i="5"/>
  <c r="B71" i="5"/>
  <c r="M70" i="5"/>
  <c r="L70" i="5"/>
  <c r="K70" i="5"/>
  <c r="J70" i="5"/>
  <c r="I70" i="5"/>
  <c r="H70" i="5"/>
  <c r="G70" i="5"/>
  <c r="E70" i="5"/>
  <c r="C70" i="5"/>
  <c r="M69" i="5"/>
  <c r="L69" i="5"/>
  <c r="K69" i="5"/>
  <c r="J69" i="5"/>
  <c r="I69" i="5"/>
  <c r="H69" i="5"/>
  <c r="G69" i="5"/>
  <c r="E69" i="5"/>
  <c r="D69" i="5"/>
  <c r="C69" i="5"/>
  <c r="M68" i="5"/>
  <c r="L68" i="5"/>
  <c r="K68" i="5"/>
  <c r="J68" i="5"/>
  <c r="I68" i="5"/>
  <c r="H68" i="5"/>
  <c r="G68" i="5"/>
  <c r="F68" i="5"/>
  <c r="E68" i="5"/>
  <c r="B68" i="5"/>
  <c r="M67" i="5"/>
  <c r="L67" i="5"/>
  <c r="K67" i="5"/>
  <c r="J67" i="5"/>
  <c r="I67" i="5"/>
  <c r="H67" i="5"/>
  <c r="G67" i="5"/>
  <c r="F67" i="5"/>
  <c r="E67" i="5"/>
  <c r="D67" i="5"/>
  <c r="C67" i="5"/>
  <c r="M66" i="5"/>
  <c r="L66" i="5"/>
  <c r="K66" i="5"/>
  <c r="J66" i="5"/>
  <c r="I66" i="5"/>
  <c r="H66" i="5"/>
  <c r="G66" i="5"/>
  <c r="E66" i="5"/>
  <c r="D66" i="5"/>
  <c r="C66" i="5"/>
  <c r="B66" i="5"/>
  <c r="M65" i="5"/>
  <c r="L65" i="5"/>
  <c r="K65" i="5"/>
  <c r="J65" i="5"/>
  <c r="I65" i="5"/>
  <c r="H65" i="5"/>
  <c r="G65" i="5"/>
  <c r="M64" i="5"/>
  <c r="L64" i="5"/>
  <c r="K64" i="5"/>
  <c r="J64" i="5"/>
  <c r="I64" i="5"/>
  <c r="H64" i="5"/>
  <c r="G64" i="5"/>
  <c r="F64" i="5"/>
  <c r="D64" i="5"/>
  <c r="C64" i="5"/>
  <c r="B64" i="5"/>
  <c r="M63" i="5"/>
  <c r="L63" i="5"/>
  <c r="K63" i="5"/>
  <c r="J63" i="5"/>
  <c r="I63" i="5"/>
  <c r="H63" i="5"/>
  <c r="G63" i="5"/>
  <c r="E63" i="5"/>
  <c r="C63" i="5"/>
  <c r="M62" i="5"/>
  <c r="L62" i="5"/>
  <c r="K62" i="5"/>
  <c r="J62" i="5"/>
  <c r="I62" i="5"/>
  <c r="H62" i="5"/>
  <c r="G62" i="5"/>
  <c r="F62" i="5"/>
  <c r="E62" i="5"/>
  <c r="D62" i="5"/>
  <c r="C62" i="5"/>
  <c r="B62" i="5"/>
  <c r="M61" i="5"/>
  <c r="L61" i="5"/>
  <c r="K61" i="5"/>
  <c r="J61" i="5"/>
  <c r="I61" i="5"/>
  <c r="H61" i="5"/>
  <c r="G61" i="5"/>
  <c r="F61" i="5"/>
  <c r="E61" i="5"/>
  <c r="D61" i="5"/>
  <c r="C61" i="5"/>
  <c r="B61" i="5"/>
  <c r="M60" i="5"/>
  <c r="L60" i="5"/>
  <c r="K60" i="5"/>
  <c r="J60" i="5"/>
  <c r="I60" i="5"/>
  <c r="H60" i="5"/>
  <c r="G60" i="5"/>
  <c r="M59" i="5"/>
  <c r="L59" i="5"/>
  <c r="K59" i="5"/>
  <c r="J59" i="5"/>
  <c r="I59" i="5"/>
  <c r="H59" i="5"/>
  <c r="G59" i="5"/>
  <c r="F59" i="5"/>
  <c r="E59" i="5"/>
  <c r="D59" i="5"/>
  <c r="C59" i="5"/>
  <c r="M58" i="5"/>
  <c r="L58" i="5"/>
  <c r="K58" i="5"/>
  <c r="J58" i="5"/>
  <c r="I58" i="5"/>
  <c r="H58" i="5"/>
  <c r="G58" i="5"/>
  <c r="F58" i="5"/>
  <c r="E58" i="5"/>
  <c r="D58" i="5"/>
  <c r="C58" i="5"/>
  <c r="M57" i="5"/>
  <c r="L57" i="5"/>
  <c r="K57" i="5"/>
  <c r="J57" i="5"/>
  <c r="I57" i="5"/>
  <c r="H57" i="5"/>
  <c r="G57" i="5"/>
  <c r="E57" i="5"/>
  <c r="D57" i="5"/>
  <c r="C57" i="5"/>
  <c r="M56" i="5"/>
  <c r="L56" i="5"/>
  <c r="K56" i="5"/>
  <c r="J56" i="5"/>
  <c r="I56" i="5"/>
  <c r="H56" i="5"/>
  <c r="G56" i="5"/>
  <c r="F56" i="5"/>
  <c r="E56" i="5"/>
  <c r="D56" i="5"/>
  <c r="C56" i="5"/>
  <c r="B56" i="5"/>
  <c r="M55" i="5"/>
  <c r="L55" i="5"/>
  <c r="K55" i="5"/>
  <c r="J55" i="5"/>
  <c r="I55" i="5"/>
  <c r="H55" i="5"/>
  <c r="G55" i="5"/>
  <c r="B55" i="5"/>
  <c r="M54" i="5"/>
  <c r="L54" i="5"/>
  <c r="K54" i="5"/>
  <c r="J54" i="5"/>
  <c r="I54" i="5"/>
  <c r="H54" i="5"/>
  <c r="G54" i="5"/>
  <c r="F54" i="5"/>
  <c r="E54" i="5"/>
  <c r="D54" i="5"/>
  <c r="C54" i="5"/>
  <c r="B54" i="5"/>
  <c r="M53" i="5"/>
  <c r="L53" i="5"/>
  <c r="K53" i="5"/>
  <c r="J53" i="5"/>
  <c r="I53" i="5"/>
  <c r="H53" i="5"/>
  <c r="G53" i="5"/>
  <c r="F53" i="5"/>
  <c r="E53" i="5"/>
  <c r="D53" i="5"/>
  <c r="C53" i="5"/>
  <c r="B53" i="5"/>
  <c r="M52" i="5"/>
  <c r="L52" i="5"/>
  <c r="K52" i="5"/>
  <c r="J52" i="5"/>
  <c r="I52" i="5"/>
  <c r="H52" i="5"/>
  <c r="G52" i="5"/>
  <c r="F52" i="5"/>
  <c r="E52" i="5"/>
  <c r="C52" i="5"/>
  <c r="B52" i="5"/>
  <c r="M51" i="5"/>
  <c r="L51" i="5"/>
  <c r="K51" i="5"/>
  <c r="J51" i="5"/>
  <c r="I51" i="5"/>
  <c r="H51" i="5"/>
  <c r="G51" i="5"/>
  <c r="F51" i="5"/>
  <c r="E51" i="5"/>
  <c r="D51" i="5"/>
  <c r="C51" i="5"/>
  <c r="B51" i="5"/>
  <c r="M50" i="5"/>
  <c r="L50" i="5"/>
  <c r="K50" i="5"/>
  <c r="J50" i="5"/>
  <c r="I50" i="5"/>
  <c r="H50" i="5"/>
  <c r="G50" i="5"/>
  <c r="F50" i="5"/>
  <c r="E50" i="5"/>
  <c r="D50" i="5"/>
  <c r="C50" i="5"/>
  <c r="B50" i="5"/>
  <c r="M49" i="5"/>
  <c r="L49" i="5"/>
  <c r="K49" i="5"/>
  <c r="J49" i="5"/>
  <c r="I49" i="5"/>
  <c r="H49" i="5"/>
  <c r="G49" i="5"/>
  <c r="M48" i="5"/>
  <c r="L48" i="5"/>
  <c r="K48" i="5"/>
  <c r="J48" i="5"/>
  <c r="I48" i="5"/>
  <c r="H48" i="5"/>
  <c r="G48" i="5"/>
  <c r="E48" i="5"/>
  <c r="M47" i="5"/>
  <c r="L47" i="5"/>
  <c r="K47" i="5"/>
  <c r="J47" i="5"/>
  <c r="I47" i="5"/>
  <c r="H47" i="5"/>
  <c r="G47" i="5"/>
  <c r="E47" i="5"/>
  <c r="M46" i="5"/>
  <c r="L46" i="5"/>
  <c r="K46" i="5"/>
  <c r="J46" i="5"/>
  <c r="I46" i="5"/>
  <c r="H46" i="5"/>
  <c r="G46" i="5"/>
  <c r="F46" i="5"/>
  <c r="D46" i="5"/>
  <c r="C46" i="5"/>
  <c r="M45" i="5"/>
  <c r="L45" i="5"/>
  <c r="K45" i="5"/>
  <c r="J45" i="5"/>
  <c r="I45" i="5"/>
  <c r="H45" i="5"/>
  <c r="G45" i="5"/>
  <c r="F45" i="5"/>
  <c r="E45" i="5"/>
  <c r="D45" i="5"/>
  <c r="M44" i="5"/>
  <c r="L44" i="5"/>
  <c r="K44" i="5"/>
  <c r="J44" i="5"/>
  <c r="I44" i="5"/>
  <c r="H44" i="5"/>
  <c r="G44" i="5"/>
  <c r="D44" i="5"/>
  <c r="C44" i="5"/>
  <c r="B44" i="5"/>
  <c r="M43" i="5"/>
  <c r="L43" i="5"/>
  <c r="K43" i="5"/>
  <c r="J43" i="5"/>
  <c r="I43" i="5"/>
  <c r="H43" i="5"/>
  <c r="G43" i="5"/>
  <c r="F43" i="5"/>
  <c r="E43" i="5"/>
  <c r="D43" i="5"/>
  <c r="B43" i="5"/>
  <c r="M42" i="5"/>
  <c r="L42" i="5"/>
  <c r="K42" i="5"/>
  <c r="J42" i="5"/>
  <c r="I42" i="5"/>
  <c r="H42" i="5"/>
  <c r="G42" i="5"/>
  <c r="C42" i="5"/>
  <c r="M41" i="5"/>
  <c r="L41" i="5"/>
  <c r="K41" i="5"/>
  <c r="J41" i="5"/>
  <c r="I41" i="5"/>
  <c r="H41" i="5"/>
  <c r="G41" i="5"/>
  <c r="F41" i="5"/>
  <c r="M40" i="5"/>
  <c r="L40" i="5"/>
  <c r="K40" i="5"/>
  <c r="J40" i="5"/>
  <c r="I40" i="5"/>
  <c r="H40" i="5"/>
  <c r="G40" i="5"/>
  <c r="F40" i="5"/>
  <c r="D40" i="5"/>
  <c r="M39" i="5"/>
  <c r="L39" i="5"/>
  <c r="K39" i="5"/>
  <c r="J39" i="5"/>
  <c r="I39" i="5"/>
  <c r="H39" i="5"/>
  <c r="G39" i="5"/>
  <c r="F39" i="5"/>
  <c r="E39" i="5"/>
  <c r="D39" i="5"/>
  <c r="C39" i="5"/>
  <c r="B39" i="5"/>
  <c r="M38" i="5"/>
  <c r="L38" i="5"/>
  <c r="K38" i="5"/>
  <c r="J38" i="5"/>
  <c r="I38" i="5"/>
  <c r="H38" i="5"/>
  <c r="G38" i="5"/>
  <c r="F38" i="5"/>
  <c r="E38" i="5"/>
  <c r="D38" i="5"/>
  <c r="B38" i="5"/>
  <c r="M37" i="5"/>
  <c r="L37" i="5"/>
  <c r="K37" i="5"/>
  <c r="J37" i="5"/>
  <c r="I37" i="5"/>
  <c r="H37" i="5"/>
  <c r="G37" i="5"/>
  <c r="F37" i="5"/>
  <c r="E37" i="5"/>
  <c r="D37" i="5"/>
  <c r="C37" i="5"/>
  <c r="B37" i="5"/>
  <c r="M36" i="5"/>
  <c r="L36" i="5"/>
  <c r="K36" i="5"/>
  <c r="J36" i="5"/>
  <c r="I36" i="5"/>
  <c r="H36" i="5"/>
  <c r="G36" i="5"/>
  <c r="F36" i="5"/>
  <c r="E36" i="5"/>
  <c r="D36" i="5"/>
  <c r="B36" i="5"/>
  <c r="M35" i="5"/>
  <c r="L35" i="5"/>
  <c r="K35" i="5"/>
  <c r="J35" i="5"/>
  <c r="I35" i="5"/>
  <c r="H35" i="5"/>
  <c r="G35" i="5"/>
  <c r="F35" i="5"/>
  <c r="D35" i="5"/>
  <c r="B35" i="5"/>
  <c r="M34" i="5"/>
  <c r="L34" i="5"/>
  <c r="K34" i="5"/>
  <c r="J34" i="5"/>
  <c r="I34" i="5"/>
  <c r="H34" i="5"/>
  <c r="G34" i="5"/>
  <c r="E34" i="5"/>
  <c r="D34" i="5"/>
  <c r="C34" i="5"/>
  <c r="M33" i="5"/>
  <c r="L33" i="5"/>
  <c r="K33" i="5"/>
  <c r="J33" i="5"/>
  <c r="I33" i="5"/>
  <c r="H33" i="5"/>
  <c r="G33" i="5"/>
  <c r="F33" i="5"/>
  <c r="E33" i="5"/>
  <c r="D33" i="5"/>
  <c r="C33" i="5"/>
  <c r="M32" i="5"/>
  <c r="L32" i="5"/>
  <c r="K32" i="5"/>
  <c r="J32" i="5"/>
  <c r="I32" i="5"/>
  <c r="H32" i="5"/>
  <c r="G32" i="5"/>
  <c r="F32" i="5"/>
  <c r="E32" i="5"/>
  <c r="D32" i="5"/>
  <c r="C32" i="5"/>
  <c r="B32" i="5"/>
  <c r="M31" i="5"/>
  <c r="L31" i="5"/>
  <c r="K31" i="5"/>
  <c r="J31" i="5"/>
  <c r="I31" i="5"/>
  <c r="H31" i="5"/>
  <c r="G31" i="5"/>
  <c r="M30" i="5"/>
  <c r="L30" i="5"/>
  <c r="K30" i="5"/>
  <c r="J30" i="5"/>
  <c r="I30" i="5"/>
  <c r="H30" i="5"/>
  <c r="G30" i="5"/>
  <c r="M29" i="5"/>
  <c r="L29" i="5"/>
  <c r="K29" i="5"/>
  <c r="J29" i="5"/>
  <c r="I29" i="5"/>
  <c r="H29" i="5"/>
  <c r="G29" i="5"/>
  <c r="M28" i="5"/>
  <c r="L28" i="5"/>
  <c r="K28" i="5"/>
  <c r="J28" i="5"/>
  <c r="I28" i="5"/>
  <c r="H28" i="5"/>
  <c r="G28" i="5"/>
  <c r="F28" i="5"/>
  <c r="E28" i="5"/>
  <c r="C28" i="5"/>
  <c r="B28" i="5"/>
  <c r="M27" i="5"/>
  <c r="L27" i="5"/>
  <c r="K27" i="5"/>
  <c r="J27" i="5"/>
  <c r="I27" i="5"/>
  <c r="H27" i="5"/>
  <c r="G27" i="5"/>
  <c r="E27" i="5"/>
  <c r="D27" i="5"/>
  <c r="B27" i="5"/>
  <c r="M26" i="5"/>
  <c r="L26" i="5"/>
  <c r="K26" i="5"/>
  <c r="J26" i="5"/>
  <c r="I26" i="5"/>
  <c r="H26" i="5"/>
  <c r="G26" i="5"/>
  <c r="F26" i="5"/>
  <c r="E26" i="5"/>
  <c r="D26" i="5"/>
  <c r="C26" i="5"/>
  <c r="B26" i="5"/>
  <c r="M25" i="5"/>
  <c r="L25" i="5"/>
  <c r="K25" i="5"/>
  <c r="J25" i="5"/>
  <c r="I25" i="5"/>
  <c r="H25" i="5"/>
  <c r="G25" i="5"/>
  <c r="M24" i="5"/>
  <c r="L24" i="5"/>
  <c r="K24" i="5"/>
  <c r="J24" i="5"/>
  <c r="I24" i="5"/>
  <c r="H24" i="5"/>
  <c r="G24" i="5"/>
  <c r="F24" i="5"/>
  <c r="D24" i="5"/>
  <c r="M23" i="5"/>
  <c r="L23" i="5"/>
  <c r="K23" i="5"/>
  <c r="J23" i="5"/>
  <c r="I23" i="5"/>
  <c r="H23" i="5"/>
  <c r="G23" i="5"/>
  <c r="F23" i="5"/>
  <c r="E23" i="5"/>
  <c r="D23" i="5"/>
  <c r="C23" i="5"/>
  <c r="B23" i="5"/>
  <c r="M22" i="5"/>
  <c r="L22" i="5"/>
  <c r="K22" i="5"/>
  <c r="J22" i="5"/>
  <c r="I22" i="5"/>
  <c r="H22" i="5"/>
  <c r="G22" i="5"/>
  <c r="F22" i="5"/>
  <c r="E22" i="5"/>
  <c r="D22" i="5"/>
  <c r="C22" i="5"/>
  <c r="B22" i="5"/>
  <c r="M21" i="5"/>
  <c r="L21" i="5"/>
  <c r="K21" i="5"/>
  <c r="J21" i="5"/>
  <c r="I21" i="5"/>
  <c r="H21" i="5"/>
  <c r="G21" i="5"/>
  <c r="F21" i="5"/>
  <c r="E21" i="5"/>
  <c r="D21" i="5"/>
  <c r="C21" i="5"/>
  <c r="B21" i="5"/>
  <c r="M20" i="5"/>
  <c r="L20" i="5"/>
  <c r="K20" i="5"/>
  <c r="J20" i="5"/>
  <c r="I20" i="5"/>
  <c r="H20" i="5"/>
  <c r="G20" i="5"/>
  <c r="B20" i="5"/>
  <c r="M19" i="5"/>
  <c r="L19" i="5"/>
  <c r="K19" i="5"/>
  <c r="J19" i="5"/>
  <c r="I19" i="5"/>
  <c r="H19" i="5"/>
  <c r="G19" i="5"/>
  <c r="B19" i="5"/>
  <c r="M18" i="5"/>
  <c r="L18" i="5"/>
  <c r="K18" i="5"/>
  <c r="J18" i="5"/>
  <c r="I18" i="5"/>
  <c r="H18" i="5"/>
  <c r="G18" i="5"/>
  <c r="F18" i="5"/>
  <c r="E18" i="5"/>
  <c r="C18" i="5"/>
  <c r="B18" i="5"/>
  <c r="M17" i="5"/>
  <c r="L17" i="5"/>
  <c r="K17" i="5"/>
  <c r="J17" i="5"/>
  <c r="I17" i="5"/>
  <c r="H17" i="5"/>
  <c r="G17" i="5"/>
  <c r="F17" i="5"/>
  <c r="E17" i="5"/>
  <c r="D17" i="5"/>
  <c r="C17" i="5"/>
  <c r="B17" i="5"/>
  <c r="M16" i="5"/>
  <c r="L16" i="5"/>
  <c r="K16" i="5"/>
  <c r="J16" i="5"/>
  <c r="I16" i="5"/>
  <c r="H16" i="5"/>
  <c r="G16" i="5"/>
  <c r="F16" i="5"/>
  <c r="E16" i="5"/>
  <c r="D16" i="5"/>
  <c r="C16" i="5"/>
  <c r="B16" i="5"/>
  <c r="M15" i="5"/>
  <c r="L15" i="5"/>
  <c r="K15" i="5"/>
  <c r="J15" i="5"/>
  <c r="I15" i="5"/>
  <c r="H15" i="5"/>
  <c r="G15" i="5"/>
  <c r="D15" i="5"/>
  <c r="C15" i="5"/>
  <c r="M14" i="5"/>
  <c r="L14" i="5"/>
  <c r="K14" i="5"/>
  <c r="J14" i="5"/>
  <c r="I14" i="5"/>
  <c r="H14" i="5"/>
  <c r="G14" i="5"/>
  <c r="F14" i="5"/>
  <c r="E14" i="5"/>
  <c r="D14" i="5"/>
  <c r="C14" i="5"/>
  <c r="B14" i="5"/>
  <c r="M13" i="5"/>
  <c r="L13" i="5"/>
  <c r="K13" i="5"/>
  <c r="J13" i="5"/>
  <c r="I13" i="5"/>
  <c r="H13" i="5"/>
  <c r="G13" i="5"/>
  <c r="F13" i="5"/>
  <c r="E13" i="5"/>
  <c r="D13" i="5"/>
  <c r="C13" i="5"/>
  <c r="B13" i="5"/>
  <c r="M12" i="5"/>
  <c r="L12" i="5"/>
  <c r="K12" i="5"/>
  <c r="J12" i="5"/>
  <c r="I12" i="5"/>
  <c r="H12" i="5"/>
  <c r="G12" i="5"/>
  <c r="M11" i="5"/>
  <c r="L11" i="5"/>
  <c r="K11" i="5"/>
  <c r="J11" i="5"/>
  <c r="I11" i="5"/>
  <c r="H11" i="5"/>
  <c r="G11" i="5"/>
  <c r="F11" i="5"/>
  <c r="E11" i="5"/>
  <c r="D11" i="5"/>
  <c r="C11" i="5"/>
  <c r="B11" i="5"/>
  <c r="M10" i="5"/>
  <c r="L10" i="5"/>
  <c r="K10" i="5"/>
  <c r="J10" i="5"/>
  <c r="I10" i="5"/>
  <c r="H10" i="5"/>
  <c r="G10" i="5"/>
  <c r="F10" i="5"/>
  <c r="E10" i="5"/>
  <c r="D10" i="5"/>
  <c r="C10" i="5"/>
  <c r="B10" i="5"/>
  <c r="M9" i="5"/>
  <c r="L9" i="5"/>
  <c r="K9" i="5"/>
  <c r="J9" i="5"/>
  <c r="I9" i="5"/>
  <c r="H9" i="5"/>
  <c r="G9" i="5"/>
  <c r="F9" i="5"/>
  <c r="E9" i="5"/>
  <c r="D9" i="5"/>
  <c r="C9" i="5"/>
  <c r="M8" i="5"/>
  <c r="L8" i="5"/>
  <c r="K8" i="5"/>
  <c r="J8" i="5"/>
  <c r="I8" i="5"/>
  <c r="H8" i="5"/>
  <c r="G8" i="5"/>
  <c r="F8" i="5"/>
  <c r="E8" i="5"/>
  <c r="D8" i="5"/>
  <c r="C8" i="5"/>
  <c r="B8" i="5"/>
  <c r="M7" i="5"/>
  <c r="L7" i="5"/>
  <c r="K7" i="5"/>
  <c r="J7" i="5"/>
  <c r="I7" i="5"/>
  <c r="H7" i="5"/>
  <c r="G7" i="5"/>
  <c r="D7" i="5"/>
  <c r="M6" i="5"/>
  <c r="L6" i="5"/>
  <c r="K6" i="5"/>
  <c r="J6" i="5"/>
  <c r="I6" i="5"/>
  <c r="H6" i="5"/>
  <c r="G6" i="5"/>
  <c r="F6" i="5"/>
  <c r="D6" i="5"/>
  <c r="B6" i="5"/>
  <c r="M5" i="5"/>
  <c r="L5" i="5"/>
  <c r="K5" i="5"/>
  <c r="J5" i="5"/>
  <c r="I5" i="5"/>
  <c r="H5" i="5"/>
  <c r="G5" i="5"/>
  <c r="F5" i="5"/>
  <c r="E5" i="5"/>
  <c r="D5" i="5"/>
  <c r="C5" i="5"/>
  <c r="B5" i="5"/>
  <c r="M4" i="5"/>
  <c r="L4" i="5"/>
  <c r="K4" i="5"/>
  <c r="J4" i="5"/>
  <c r="I4" i="5"/>
  <c r="H4" i="5"/>
  <c r="G4" i="5"/>
  <c r="M3" i="5"/>
  <c r="L3" i="5"/>
  <c r="K3" i="5"/>
  <c r="J3" i="5"/>
  <c r="I3" i="5"/>
  <c r="H3" i="5"/>
  <c r="G3" i="5"/>
  <c r="F3" i="5"/>
  <c r="E3" i="5"/>
  <c r="D3" i="5"/>
  <c r="C3" i="5"/>
  <c r="B3" i="5"/>
  <c r="C110" i="3"/>
  <c r="M108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L105" i="3"/>
  <c r="E105" i="3"/>
  <c r="M101" i="3"/>
  <c r="M98" i="3"/>
  <c r="L98" i="3"/>
  <c r="K98" i="3"/>
  <c r="J98" i="3"/>
  <c r="I98" i="3"/>
  <c r="H98" i="3"/>
  <c r="G98" i="3"/>
  <c r="F98" i="3"/>
  <c r="E98" i="3"/>
  <c r="D98" i="3"/>
  <c r="C98" i="3"/>
  <c r="B98" i="3"/>
  <c r="L96" i="3"/>
  <c r="M93" i="3"/>
  <c r="I93" i="3"/>
  <c r="B92" i="3"/>
  <c r="M90" i="3"/>
  <c r="L90" i="3"/>
  <c r="K90" i="3"/>
  <c r="J90" i="3"/>
  <c r="I90" i="3"/>
  <c r="H90" i="3"/>
  <c r="G90" i="3"/>
  <c r="F90" i="3"/>
  <c r="E90" i="3"/>
  <c r="D90" i="3"/>
  <c r="C90" i="3"/>
  <c r="B90" i="3"/>
  <c r="G88" i="3"/>
  <c r="M85" i="3"/>
  <c r="F84" i="3"/>
  <c r="L83" i="3"/>
  <c r="I83" i="3"/>
  <c r="J81" i="3"/>
  <c r="M80" i="3"/>
  <c r="C79" i="3"/>
  <c r="M78" i="3"/>
  <c r="L78" i="3"/>
  <c r="K78" i="3"/>
  <c r="J78" i="3"/>
  <c r="I78" i="3"/>
  <c r="H78" i="3"/>
  <c r="G78" i="3"/>
  <c r="F78" i="3"/>
  <c r="E78" i="3"/>
  <c r="D78" i="3"/>
  <c r="C78" i="3"/>
  <c r="B78" i="3"/>
  <c r="M76" i="3"/>
  <c r="M74" i="3"/>
  <c r="L71" i="3"/>
  <c r="I71" i="3"/>
  <c r="K70" i="3"/>
  <c r="D70" i="3"/>
  <c r="M68" i="3"/>
  <c r="J68" i="3"/>
  <c r="M66" i="3"/>
  <c r="L66" i="3"/>
  <c r="K66" i="3"/>
  <c r="J66" i="3"/>
  <c r="I66" i="3"/>
  <c r="H66" i="3"/>
  <c r="G66" i="3"/>
  <c r="F66" i="3"/>
  <c r="E66" i="3"/>
  <c r="D66" i="3"/>
  <c r="C66" i="3"/>
  <c r="B66" i="3"/>
  <c r="L63" i="3"/>
  <c r="K63" i="3"/>
  <c r="G63" i="3"/>
  <c r="M61" i="3"/>
  <c r="L61" i="3"/>
  <c r="K61" i="3"/>
  <c r="J61" i="3"/>
  <c r="I61" i="3"/>
  <c r="H61" i="3"/>
  <c r="G61" i="3"/>
  <c r="F61" i="3"/>
  <c r="E61" i="3"/>
  <c r="D61" i="3"/>
  <c r="C61" i="3"/>
  <c r="B61" i="3"/>
  <c r="M58" i="3"/>
  <c r="M56" i="3"/>
  <c r="L56" i="3"/>
  <c r="K56" i="3"/>
  <c r="J56" i="3"/>
  <c r="I56" i="3"/>
  <c r="H56" i="3"/>
  <c r="G56" i="3"/>
  <c r="F56" i="3"/>
  <c r="E56" i="3"/>
  <c r="D56" i="3"/>
  <c r="C56" i="3"/>
  <c r="B56" i="3"/>
  <c r="L53" i="3"/>
  <c r="J53" i="3"/>
  <c r="M51" i="3"/>
  <c r="J51" i="3"/>
  <c r="M50" i="3"/>
  <c r="L50" i="3"/>
  <c r="K50" i="3"/>
  <c r="J50" i="3"/>
  <c r="I50" i="3"/>
  <c r="H50" i="3"/>
  <c r="G50" i="3"/>
  <c r="F50" i="3"/>
  <c r="E50" i="3"/>
  <c r="D50" i="3"/>
  <c r="C50" i="3"/>
  <c r="B50" i="3"/>
  <c r="L47" i="3"/>
  <c r="K47" i="3"/>
  <c r="M44" i="3"/>
  <c r="J44" i="3"/>
  <c r="L42" i="3"/>
  <c r="I42" i="3"/>
  <c r="D40" i="3"/>
  <c r="M39" i="3"/>
  <c r="E39" i="3"/>
  <c r="L36" i="3"/>
  <c r="K36" i="3"/>
  <c r="K35" i="3"/>
  <c r="M34" i="3"/>
  <c r="J34" i="3"/>
  <c r="M33" i="3"/>
  <c r="L33" i="3"/>
  <c r="K33" i="3"/>
  <c r="J33" i="3"/>
  <c r="I33" i="3"/>
  <c r="H33" i="3"/>
  <c r="G33" i="3"/>
  <c r="F33" i="3"/>
  <c r="E33" i="3"/>
  <c r="D33" i="3"/>
  <c r="C33" i="3"/>
  <c r="B33" i="3"/>
  <c r="M32" i="3"/>
  <c r="L32" i="3"/>
  <c r="K32" i="3"/>
  <c r="J32" i="3"/>
  <c r="I32" i="3"/>
  <c r="H32" i="3"/>
  <c r="G32" i="3"/>
  <c r="F32" i="3"/>
  <c r="E32" i="3"/>
  <c r="D32" i="3"/>
  <c r="C32" i="3"/>
  <c r="B32" i="3"/>
  <c r="M28" i="3"/>
  <c r="F28" i="3"/>
  <c r="M26" i="3"/>
  <c r="L26" i="3"/>
  <c r="K26" i="3"/>
  <c r="J26" i="3"/>
  <c r="I26" i="3"/>
  <c r="H26" i="3"/>
  <c r="G26" i="3"/>
  <c r="F26" i="3"/>
  <c r="E26" i="3"/>
  <c r="D26" i="3"/>
  <c r="C26" i="3"/>
  <c r="B26" i="3"/>
  <c r="L24" i="3"/>
  <c r="I24" i="3"/>
  <c r="J23" i="3"/>
  <c r="M21" i="3"/>
  <c r="L21" i="3"/>
  <c r="K21" i="3"/>
  <c r="J21" i="3"/>
  <c r="I21" i="3"/>
  <c r="H21" i="3"/>
  <c r="G21" i="3"/>
  <c r="F21" i="3"/>
  <c r="E21" i="3"/>
  <c r="D21" i="3"/>
  <c r="C21" i="3"/>
  <c r="B21" i="3"/>
  <c r="J19" i="3"/>
  <c r="F19" i="3"/>
  <c r="M18" i="3"/>
  <c r="E18" i="3"/>
  <c r="M17" i="3"/>
  <c r="L17" i="3"/>
  <c r="K17" i="3"/>
  <c r="J17" i="3"/>
  <c r="I17" i="3"/>
  <c r="H17" i="3"/>
  <c r="G17" i="3"/>
  <c r="F17" i="3"/>
  <c r="E17" i="3"/>
  <c r="D17" i="3"/>
  <c r="C17" i="3"/>
  <c r="B17" i="3"/>
  <c r="M14" i="3"/>
  <c r="M13" i="3"/>
  <c r="L13" i="3"/>
  <c r="K13" i="3"/>
  <c r="J13" i="3"/>
  <c r="I13" i="3"/>
  <c r="H13" i="3"/>
  <c r="G13" i="3"/>
  <c r="F13" i="3"/>
  <c r="E13" i="3"/>
  <c r="D13" i="3"/>
  <c r="C13" i="3"/>
  <c r="B13" i="3"/>
  <c r="L10" i="3"/>
  <c r="M9" i="3"/>
  <c r="J9" i="3"/>
  <c r="K8" i="3"/>
  <c r="E8" i="3"/>
  <c r="I6" i="3"/>
  <c r="M5" i="3"/>
  <c r="L5" i="3"/>
  <c r="K5" i="3"/>
  <c r="J5" i="3"/>
  <c r="I5" i="3"/>
  <c r="H5" i="3"/>
  <c r="G5" i="3"/>
  <c r="F5" i="3"/>
  <c r="E5" i="3"/>
  <c r="D5" i="3"/>
  <c r="C5" i="3"/>
  <c r="B5" i="3"/>
  <c r="L3" i="3"/>
  <c r="K45" i="1" l="1"/>
  <c r="F34" i="3" s="1"/>
  <c r="G83" i="1"/>
  <c r="D68" i="3" s="1"/>
  <c r="D72" i="5"/>
  <c r="AA98" i="1"/>
  <c r="AD98" i="1" s="1"/>
  <c r="C78" i="1"/>
  <c r="B63" i="3" s="1"/>
  <c r="F44" i="5"/>
  <c r="AA38" i="1"/>
  <c r="AC38" i="1" s="1"/>
  <c r="AA117" i="1"/>
  <c r="AC117" i="1" s="1"/>
  <c r="E48" i="1"/>
  <c r="C36" i="3" s="1"/>
  <c r="AD85" i="1"/>
  <c r="E24" i="5"/>
  <c r="D42" i="5"/>
  <c r="D75" i="5"/>
  <c r="C28" i="1"/>
  <c r="B19" i="3" s="1"/>
  <c r="G60" i="1"/>
  <c r="D48" i="3" s="1"/>
  <c r="B34" i="5"/>
  <c r="F63" i="5"/>
  <c r="C82" i="5"/>
  <c r="E12" i="1"/>
  <c r="C6" i="3" s="1"/>
  <c r="E34" i="1"/>
  <c r="C24" i="3" s="1"/>
  <c r="G86" i="1"/>
  <c r="D71" i="3" s="1"/>
  <c r="B63" i="5"/>
  <c r="D71" i="5"/>
  <c r="B94" i="5"/>
  <c r="AA37" i="1"/>
  <c r="AD48" i="1"/>
  <c r="AC113" i="1"/>
  <c r="D61" i="1"/>
  <c r="C49" i="5" s="1"/>
  <c r="B21" i="1"/>
  <c r="AC71" i="1"/>
  <c r="AD53" i="1"/>
  <c r="B74" i="1"/>
  <c r="B60" i="5" s="1"/>
  <c r="C70" i="1"/>
  <c r="B57" i="3" s="1"/>
  <c r="I28" i="1"/>
  <c r="E19" i="3" s="1"/>
  <c r="H29" i="1"/>
  <c r="E20" i="5" s="1"/>
  <c r="C43" i="5"/>
  <c r="C89" i="1"/>
  <c r="B74" i="3" s="1"/>
  <c r="E45" i="1"/>
  <c r="C34" i="3" s="1"/>
  <c r="E55" i="1"/>
  <c r="C43" i="3" s="1"/>
  <c r="E71" i="1"/>
  <c r="C58" i="3" s="1"/>
  <c r="B41" i="1"/>
  <c r="B42" i="1" s="1"/>
  <c r="B70" i="5"/>
  <c r="C85" i="1"/>
  <c r="B70" i="3" s="1"/>
  <c r="D29" i="1"/>
  <c r="C20" i="5" s="1"/>
  <c r="C19" i="5"/>
  <c r="D47" i="5"/>
  <c r="G59" i="1"/>
  <c r="D47" i="3" s="1"/>
  <c r="G89" i="1"/>
  <c r="D74" i="3" s="1"/>
  <c r="D74" i="5"/>
  <c r="F122" i="1"/>
  <c r="D97" i="5" s="1"/>
  <c r="D91" i="5"/>
  <c r="E19" i="5"/>
  <c r="B40" i="5"/>
  <c r="D41" i="5"/>
  <c r="D70" i="5"/>
  <c r="C90" i="1"/>
  <c r="B75" i="3" s="1"/>
  <c r="AD27" i="1"/>
  <c r="D18" i="5"/>
  <c r="F29" i="1"/>
  <c r="D20" i="5" s="1"/>
  <c r="E75" i="5"/>
  <c r="I90" i="1"/>
  <c r="E75" i="3" s="1"/>
  <c r="J35" i="1"/>
  <c r="F25" i="5" s="1"/>
  <c r="AC34" i="1"/>
  <c r="K34" i="1"/>
  <c r="F24" i="3" s="1"/>
  <c r="F69" i="5"/>
  <c r="AD84" i="1"/>
  <c r="F74" i="5"/>
  <c r="K106" i="1"/>
  <c r="F87" i="3" s="1"/>
  <c r="F87" i="5"/>
  <c r="AA106" i="1"/>
  <c r="AC106" i="1" s="1"/>
  <c r="C57" i="1"/>
  <c r="B45" i="3" s="1"/>
  <c r="C38" i="5"/>
  <c r="E50" i="1"/>
  <c r="C38" i="3" s="1"/>
  <c r="AD50" i="1"/>
  <c r="B45" i="5"/>
  <c r="B58" i="5"/>
  <c r="AD136" i="1"/>
  <c r="AC136" i="1"/>
  <c r="D39" i="1"/>
  <c r="C29" i="5" s="1"/>
  <c r="C27" i="5"/>
  <c r="I58" i="1"/>
  <c r="E46" i="3" s="1"/>
  <c r="E46" i="5"/>
  <c r="E64" i="5"/>
  <c r="H111" i="1"/>
  <c r="E89" i="5" s="1"/>
  <c r="E80" i="5"/>
  <c r="I97" i="1"/>
  <c r="E80" i="3" s="1"/>
  <c r="J21" i="1"/>
  <c r="F12" i="5" s="1"/>
  <c r="K54" i="1"/>
  <c r="F42" i="3" s="1"/>
  <c r="F42" i="5"/>
  <c r="K59" i="1"/>
  <c r="F47" i="3" s="1"/>
  <c r="F47" i="5"/>
  <c r="J80" i="1"/>
  <c r="F65" i="5" s="1"/>
  <c r="AC78" i="1"/>
  <c r="F70" i="5"/>
  <c r="K85" i="1"/>
  <c r="F70" i="3" s="1"/>
  <c r="K90" i="1"/>
  <c r="F75" i="3" s="1"/>
  <c r="AC90" i="1"/>
  <c r="J111" i="1"/>
  <c r="F89" i="5" s="1"/>
  <c r="AD54" i="1"/>
  <c r="AD59" i="1"/>
  <c r="AD52" i="1"/>
  <c r="F39" i="1"/>
  <c r="D29" i="5" s="1"/>
  <c r="D28" i="5"/>
  <c r="F80" i="1"/>
  <c r="D65" i="5" s="1"/>
  <c r="D63" i="5"/>
  <c r="H21" i="1"/>
  <c r="E12" i="5" s="1"/>
  <c r="AD12" i="1"/>
  <c r="E6" i="5"/>
  <c r="H94" i="1"/>
  <c r="E77" i="5" s="1"/>
  <c r="J94" i="1"/>
  <c r="F77" i="5" s="1"/>
  <c r="J122" i="1"/>
  <c r="F97" i="5" s="1"/>
  <c r="F91" i="5"/>
  <c r="E42" i="5"/>
  <c r="B94" i="1"/>
  <c r="C94" i="1" s="1"/>
  <c r="B77" i="3" s="1"/>
  <c r="D35" i="1"/>
  <c r="C25" i="5" s="1"/>
  <c r="D80" i="1"/>
  <c r="C65" i="5" s="1"/>
  <c r="D111" i="1"/>
  <c r="C89" i="5" s="1"/>
  <c r="F61" i="1"/>
  <c r="D49" i="5" s="1"/>
  <c r="F68" i="1"/>
  <c r="D55" i="5" s="1"/>
  <c r="G64" i="1"/>
  <c r="D52" i="3" s="1"/>
  <c r="D52" i="5"/>
  <c r="F94" i="1"/>
  <c r="D77" i="5" s="1"/>
  <c r="F111" i="1"/>
  <c r="D89" i="5" s="1"/>
  <c r="G98" i="1"/>
  <c r="D81" i="3" s="1"/>
  <c r="H61" i="1"/>
  <c r="B111" i="1"/>
  <c r="B89" i="5" s="1"/>
  <c r="D21" i="1"/>
  <c r="C12" i="5" s="1"/>
  <c r="D74" i="1"/>
  <c r="C60" i="5" s="1"/>
  <c r="D94" i="1"/>
  <c r="C77" i="5" s="1"/>
  <c r="AD24" i="1"/>
  <c r="F35" i="1"/>
  <c r="D25" i="5" s="1"/>
  <c r="H35" i="1"/>
  <c r="E25" i="5" s="1"/>
  <c r="AD101" i="1"/>
  <c r="AA10" i="1"/>
  <c r="AC10" i="1" s="1"/>
  <c r="G115" i="5"/>
  <c r="G114" i="5"/>
  <c r="F48" i="5"/>
  <c r="AD70" i="1"/>
  <c r="AC81" i="1"/>
  <c r="AC87" i="1"/>
  <c r="J29" i="1"/>
  <c r="J39" i="1"/>
  <c r="F29" i="5" s="1"/>
  <c r="J61" i="1"/>
  <c r="K61" i="1" s="1"/>
  <c r="F49" i="3" s="1"/>
  <c r="J74" i="1"/>
  <c r="F60" i="5" s="1"/>
  <c r="F4" i="5"/>
  <c r="F66" i="5"/>
  <c r="F57" i="5"/>
  <c r="F72" i="5"/>
  <c r="E49" i="5"/>
  <c r="I101" i="1"/>
  <c r="E83" i="3" s="1"/>
  <c r="AC56" i="1"/>
  <c r="H80" i="1"/>
  <c r="E65" i="5" s="1"/>
  <c r="E35" i="5"/>
  <c r="E44" i="5"/>
  <c r="AC33" i="1"/>
  <c r="C103" i="5"/>
  <c r="C68" i="5"/>
  <c r="AC47" i="1"/>
  <c r="E47" i="1"/>
  <c r="C35" i="3" s="1"/>
  <c r="E52" i="1"/>
  <c r="C40" i="3" s="1"/>
  <c r="E98" i="1"/>
  <c r="C81" i="3" s="1"/>
  <c r="D122" i="1"/>
  <c r="C97" i="5" s="1"/>
  <c r="C40" i="5"/>
  <c r="C48" i="5"/>
  <c r="AD83" i="1"/>
  <c r="AC88" i="1"/>
  <c r="C92" i="5"/>
  <c r="AC63" i="1"/>
  <c r="AA114" i="1"/>
  <c r="AC114" i="1" s="1"/>
  <c r="B31" i="5"/>
  <c r="B25" i="5"/>
  <c r="B42" i="5"/>
  <c r="B82" i="5"/>
  <c r="AD103" i="1"/>
  <c r="C54" i="1"/>
  <c r="B42" i="3" s="1"/>
  <c r="C59" i="1"/>
  <c r="B47" i="3" s="1"/>
  <c r="C83" i="1"/>
  <c r="B68" i="3" s="1"/>
  <c r="B61" i="1"/>
  <c r="C61" i="1" s="1"/>
  <c r="B49" i="3" s="1"/>
  <c r="AD45" i="1"/>
  <c r="B122" i="1"/>
  <c r="B91" i="5"/>
  <c r="AC55" i="1"/>
  <c r="AD134" i="1"/>
  <c r="B48" i="5"/>
  <c r="C60" i="1"/>
  <c r="B48" i="3" s="1"/>
  <c r="AA119" i="1"/>
  <c r="B96" i="5"/>
  <c r="C119" i="1"/>
  <c r="B96" i="3" s="1"/>
  <c r="B29" i="5"/>
  <c r="AD72" i="1"/>
  <c r="B59" i="5"/>
  <c r="AA91" i="1"/>
  <c r="C91" i="1"/>
  <c r="B76" i="3" s="1"/>
  <c r="B76" i="5"/>
  <c r="AA107" i="1"/>
  <c r="C107" i="1"/>
  <c r="B88" i="3" s="1"/>
  <c r="B88" i="5"/>
  <c r="B12" i="5"/>
  <c r="AC137" i="1"/>
  <c r="AD137" i="1"/>
  <c r="B15" i="5"/>
  <c r="B33" i="5"/>
  <c r="B46" i="5"/>
  <c r="B57" i="5"/>
  <c r="B81" i="5"/>
  <c r="B111" i="5"/>
  <c r="AC64" i="1"/>
  <c r="AC58" i="1"/>
  <c r="AA112" i="1"/>
  <c r="AC112" i="1" s="1"/>
  <c r="C34" i="1"/>
  <c r="B24" i="3" s="1"/>
  <c r="C137" i="1"/>
  <c r="B111" i="3" s="1"/>
  <c r="B7" i="5"/>
  <c r="B24" i="5"/>
  <c r="B41" i="5"/>
  <c r="B67" i="5"/>
  <c r="B72" i="5"/>
  <c r="B90" i="5"/>
  <c r="AD82" i="1"/>
  <c r="C82" i="1"/>
  <c r="B67" i="3" s="1"/>
  <c r="C87" i="1"/>
  <c r="B72" i="3" s="1"/>
  <c r="AC13" i="1"/>
  <c r="AD104" i="1"/>
  <c r="AC101" i="1"/>
  <c r="O94" i="1"/>
  <c r="H77" i="3" s="1"/>
  <c r="M94" i="1"/>
  <c r="G77" i="3" s="1"/>
  <c r="I94" i="1"/>
  <c r="E77" i="3" s="1"/>
  <c r="O84" i="1"/>
  <c r="H69" i="3" s="1"/>
  <c r="M84" i="1"/>
  <c r="G69" i="3" s="1"/>
  <c r="K84" i="1"/>
  <c r="F69" i="3" s="1"/>
  <c r="I84" i="1"/>
  <c r="E69" i="3" s="1"/>
  <c r="AD14" i="1"/>
  <c r="AC14" i="1"/>
  <c r="AD57" i="1"/>
  <c r="AC57" i="1"/>
  <c r="AD66" i="1"/>
  <c r="AC66" i="1"/>
  <c r="AC115" i="1"/>
  <c r="AD115" i="1"/>
  <c r="AC126" i="1"/>
  <c r="AD126" i="1"/>
  <c r="AD130" i="1"/>
  <c r="AC130" i="1"/>
  <c r="E118" i="1"/>
  <c r="C95" i="3" s="1"/>
  <c r="C118" i="1"/>
  <c r="B95" i="3" s="1"/>
  <c r="AB122" i="1"/>
  <c r="E113" i="1"/>
  <c r="C91" i="3" s="1"/>
  <c r="C113" i="1"/>
  <c r="B91" i="3" s="1"/>
  <c r="O67" i="1"/>
  <c r="H54" i="3" s="1"/>
  <c r="M67" i="1"/>
  <c r="G54" i="3" s="1"/>
  <c r="K67" i="1"/>
  <c r="F54" i="3" s="1"/>
  <c r="O61" i="1"/>
  <c r="H49" i="3" s="1"/>
  <c r="M61" i="1"/>
  <c r="G49" i="3" s="1"/>
  <c r="O57" i="1"/>
  <c r="H45" i="3" s="1"/>
  <c r="M57" i="1"/>
  <c r="G45" i="3" s="1"/>
  <c r="K57" i="1"/>
  <c r="F45" i="3" s="1"/>
  <c r="O53" i="1"/>
  <c r="H41" i="3" s="1"/>
  <c r="M53" i="1"/>
  <c r="G41" i="3" s="1"/>
  <c r="K53" i="1"/>
  <c r="F41" i="3" s="1"/>
  <c r="AD49" i="1"/>
  <c r="O49" i="1"/>
  <c r="H37" i="3" s="1"/>
  <c r="M49" i="1"/>
  <c r="G37" i="3" s="1"/>
  <c r="K49" i="1"/>
  <c r="F37" i="3" s="1"/>
  <c r="AC25" i="1"/>
  <c r="C25" i="1"/>
  <c r="B16" i="3" s="1"/>
  <c r="AD25" i="1"/>
  <c r="O105" i="1"/>
  <c r="H86" i="3" s="1"/>
  <c r="M105" i="1"/>
  <c r="G86" i="3" s="1"/>
  <c r="K105" i="1"/>
  <c r="F86" i="3" s="1"/>
  <c r="I105" i="1"/>
  <c r="E86" i="3" s="1"/>
  <c r="AB111" i="1"/>
  <c r="O99" i="1"/>
  <c r="H82" i="3" s="1"/>
  <c r="M99" i="1"/>
  <c r="G82" i="3" s="1"/>
  <c r="K99" i="1"/>
  <c r="F82" i="3" s="1"/>
  <c r="I99" i="1"/>
  <c r="E82" i="3" s="1"/>
  <c r="AD88" i="1"/>
  <c r="O88" i="1"/>
  <c r="H73" i="3" s="1"/>
  <c r="M88" i="1"/>
  <c r="G73" i="3" s="1"/>
  <c r="K88" i="1"/>
  <c r="F73" i="3" s="1"/>
  <c r="I88" i="1"/>
  <c r="E73" i="3" s="1"/>
  <c r="C84" i="1"/>
  <c r="B69" i="3" s="1"/>
  <c r="C88" i="1"/>
  <c r="B73" i="3" s="1"/>
  <c r="C99" i="1"/>
  <c r="B82" i="3" s="1"/>
  <c r="AB128" i="1"/>
  <c r="AC125" i="1"/>
  <c r="AB74" i="1"/>
  <c r="E72" i="1"/>
  <c r="C59" i="3" s="1"/>
  <c r="C72" i="1"/>
  <c r="B59" i="3" s="1"/>
  <c r="AB68" i="1"/>
  <c r="S68" i="1" s="1"/>
  <c r="J55" i="3" s="1"/>
  <c r="E31" i="1"/>
  <c r="C22" i="3" s="1"/>
  <c r="AD31" i="1"/>
  <c r="AB35" i="1"/>
  <c r="AB41" i="1" s="1"/>
  <c r="AB42" i="1" s="1"/>
  <c r="G31" i="1"/>
  <c r="D22" i="3" s="1"/>
  <c r="C31" i="1"/>
  <c r="B22" i="3" s="1"/>
  <c r="AD67" i="1"/>
  <c r="AD99" i="1"/>
  <c r="AD105" i="1"/>
  <c r="AC105" i="1"/>
  <c r="AC99" i="1"/>
  <c r="AD118" i="1"/>
  <c r="AC85" i="1"/>
  <c r="AC27" i="1"/>
  <c r="AC16" i="1"/>
  <c r="AD76" i="1"/>
  <c r="C24" i="1"/>
  <c r="B15" i="3" s="1"/>
  <c r="E24" i="1"/>
  <c r="C15" i="3" s="1"/>
  <c r="G24" i="1"/>
  <c r="D15" i="3" s="1"/>
  <c r="G105" i="1"/>
  <c r="D86" i="3" s="1"/>
  <c r="C105" i="1"/>
  <c r="B86" i="3" s="1"/>
  <c r="E105" i="1"/>
  <c r="C86" i="3" s="1"/>
  <c r="G99" i="1"/>
  <c r="D82" i="3" s="1"/>
  <c r="E99" i="1"/>
  <c r="C82" i="3" s="1"/>
  <c r="E94" i="1"/>
  <c r="C77" i="3" s="1"/>
  <c r="G88" i="1"/>
  <c r="D73" i="3" s="1"/>
  <c r="E88" i="1"/>
  <c r="C73" i="3" s="1"/>
  <c r="G84" i="1"/>
  <c r="D69" i="3" s="1"/>
  <c r="E84" i="1"/>
  <c r="C69" i="3" s="1"/>
  <c r="AC23" i="1"/>
  <c r="AD127" i="1"/>
  <c r="O118" i="1"/>
  <c r="H95" i="3" s="1"/>
  <c r="M118" i="1"/>
  <c r="G95" i="3" s="1"/>
  <c r="K118" i="1"/>
  <c r="F95" i="3" s="1"/>
  <c r="I118" i="1"/>
  <c r="E95" i="3" s="1"/>
  <c r="G118" i="1"/>
  <c r="D95" i="3" s="1"/>
  <c r="O113" i="1"/>
  <c r="H91" i="3" s="1"/>
  <c r="M113" i="1"/>
  <c r="G91" i="3" s="1"/>
  <c r="K113" i="1"/>
  <c r="F91" i="3" s="1"/>
  <c r="I113" i="1"/>
  <c r="E91" i="3" s="1"/>
  <c r="G113" i="1"/>
  <c r="D91" i="3" s="1"/>
  <c r="I67" i="1"/>
  <c r="E54" i="3" s="1"/>
  <c r="G67" i="1"/>
  <c r="D54" i="3" s="1"/>
  <c r="E67" i="1"/>
  <c r="C54" i="3" s="1"/>
  <c r="I61" i="1"/>
  <c r="E49" i="3" s="1"/>
  <c r="E61" i="1"/>
  <c r="C49" i="3" s="1"/>
  <c r="I57" i="1"/>
  <c r="E45" i="3" s="1"/>
  <c r="G57" i="1"/>
  <c r="D45" i="3" s="1"/>
  <c r="E57" i="1"/>
  <c r="C45" i="3" s="1"/>
  <c r="I53" i="1"/>
  <c r="E41" i="3" s="1"/>
  <c r="G53" i="1"/>
  <c r="D41" i="3" s="1"/>
  <c r="E53" i="1"/>
  <c r="C41" i="3" s="1"/>
  <c r="I49" i="1"/>
  <c r="E37" i="3" s="1"/>
  <c r="G49" i="1"/>
  <c r="D37" i="3" s="1"/>
  <c r="E49" i="1"/>
  <c r="C37" i="3" s="1"/>
  <c r="W24" i="1"/>
  <c r="L15" i="3" s="1"/>
  <c r="S24" i="1"/>
  <c r="J15" i="3" s="1"/>
  <c r="Q24" i="1"/>
  <c r="I15" i="3" s="1"/>
  <c r="O24" i="1"/>
  <c r="H15" i="3" s="1"/>
  <c r="M24" i="1"/>
  <c r="G15" i="3" s="1"/>
  <c r="K24" i="1"/>
  <c r="F15" i="3" s="1"/>
  <c r="E125" i="1"/>
  <c r="C100" i="3" s="1"/>
  <c r="O125" i="1"/>
  <c r="H100" i="3" s="1"/>
  <c r="M125" i="1"/>
  <c r="G100" i="3" s="1"/>
  <c r="K125" i="1"/>
  <c r="F100" i="3" s="1"/>
  <c r="I125" i="1"/>
  <c r="E100" i="3" s="1"/>
  <c r="G125" i="1"/>
  <c r="D100" i="3" s="1"/>
  <c r="C125" i="1"/>
  <c r="B100" i="3" s="1"/>
  <c r="O72" i="1"/>
  <c r="H59" i="3" s="1"/>
  <c r="M72" i="1"/>
  <c r="G59" i="3" s="1"/>
  <c r="K72" i="1"/>
  <c r="F59" i="3" s="1"/>
  <c r="I72" i="1"/>
  <c r="E59" i="3" s="1"/>
  <c r="G72" i="1"/>
  <c r="D59" i="3" s="1"/>
  <c r="O31" i="1"/>
  <c r="H22" i="3" s="1"/>
  <c r="M31" i="1"/>
  <c r="G22" i="3" s="1"/>
  <c r="K31" i="1"/>
  <c r="F22" i="3" s="1"/>
  <c r="E25" i="1"/>
  <c r="C16" i="3" s="1"/>
  <c r="O25" i="1"/>
  <c r="H16" i="3" s="1"/>
  <c r="M25" i="1"/>
  <c r="G16" i="3" s="1"/>
  <c r="K25" i="1"/>
  <c r="F16" i="3" s="1"/>
  <c r="I25" i="1"/>
  <c r="E16" i="3" s="1"/>
  <c r="G25" i="1"/>
  <c r="D16" i="3" s="1"/>
  <c r="Y10" i="1"/>
  <c r="M4" i="3" s="1"/>
  <c r="W10" i="1"/>
  <c r="L4" i="3" s="1"/>
  <c r="U10" i="1"/>
  <c r="K4" i="3" s="1"/>
  <c r="S10" i="1"/>
  <c r="J4" i="3" s="1"/>
  <c r="Q10" i="1"/>
  <c r="I4" i="3" s="1"/>
  <c r="O10" i="1"/>
  <c r="H4" i="3" s="1"/>
  <c r="M10" i="1"/>
  <c r="G4" i="3" s="1"/>
  <c r="K10" i="1"/>
  <c r="F4" i="3" s="1"/>
  <c r="C10" i="1"/>
  <c r="B4" i="3" s="1"/>
  <c r="I10" i="1"/>
  <c r="E4" i="3" s="1"/>
  <c r="G10" i="1"/>
  <c r="D4" i="3" s="1"/>
  <c r="Y37" i="1"/>
  <c r="M27" i="3" s="1"/>
  <c r="U37" i="1"/>
  <c r="K27" i="3" s="1"/>
  <c r="Q37" i="1"/>
  <c r="I27" i="3" s="1"/>
  <c r="W37" i="1"/>
  <c r="L27" i="3" s="1"/>
  <c r="S37" i="1"/>
  <c r="J27" i="3" s="1"/>
  <c r="M37" i="1"/>
  <c r="G27" i="3" s="1"/>
  <c r="I37" i="1"/>
  <c r="E27" i="3" s="1"/>
  <c r="O37" i="1"/>
  <c r="H27" i="3" s="1"/>
  <c r="K37" i="1"/>
  <c r="F27" i="3" s="1"/>
  <c r="G37" i="1"/>
  <c r="D27" i="3" s="1"/>
  <c r="E37" i="1"/>
  <c r="C27" i="3" s="1"/>
  <c r="C37" i="1"/>
  <c r="B27" i="3" s="1"/>
  <c r="Y29" i="1"/>
  <c r="M20" i="3" s="1"/>
  <c r="U29" i="1"/>
  <c r="K20" i="3" s="1"/>
  <c r="W29" i="1"/>
  <c r="L20" i="3" s="1"/>
  <c r="Q29" i="1"/>
  <c r="I20" i="3" s="1"/>
  <c r="M29" i="1"/>
  <c r="G20" i="3" s="1"/>
  <c r="S29" i="1"/>
  <c r="J20" i="3" s="1"/>
  <c r="O29" i="1"/>
  <c r="H20" i="3" s="1"/>
  <c r="C29" i="1"/>
  <c r="B20" i="3" s="1"/>
  <c r="Y13" i="1"/>
  <c r="M7" i="3" s="1"/>
  <c r="U13" i="1"/>
  <c r="K7" i="3" s="1"/>
  <c r="Q13" i="1"/>
  <c r="I7" i="3" s="1"/>
  <c r="W13" i="1"/>
  <c r="L7" i="3" s="1"/>
  <c r="S13" i="1"/>
  <c r="J7" i="3" s="1"/>
  <c r="M13" i="1"/>
  <c r="G7" i="3" s="1"/>
  <c r="I13" i="1"/>
  <c r="E7" i="3" s="1"/>
  <c r="O13" i="1"/>
  <c r="H7" i="3" s="1"/>
  <c r="K13" i="1"/>
  <c r="F7" i="3" s="1"/>
  <c r="G13" i="1"/>
  <c r="D7" i="3" s="1"/>
  <c r="E13" i="1"/>
  <c r="C7" i="3" s="1"/>
  <c r="C13" i="1"/>
  <c r="B7" i="3" s="1"/>
  <c r="Y20" i="1"/>
  <c r="M11" i="3" s="1"/>
  <c r="U20" i="1"/>
  <c r="K11" i="3" s="1"/>
  <c r="Q20" i="1"/>
  <c r="I11" i="3" s="1"/>
  <c r="W20" i="1"/>
  <c r="L11" i="3" s="1"/>
  <c r="S20" i="1"/>
  <c r="J11" i="3" s="1"/>
  <c r="M20" i="1"/>
  <c r="G11" i="3" s="1"/>
  <c r="I20" i="1"/>
  <c r="E11" i="3" s="1"/>
  <c r="O20" i="1"/>
  <c r="H11" i="3" s="1"/>
  <c r="K20" i="1"/>
  <c r="F11" i="3" s="1"/>
  <c r="G20" i="1"/>
  <c r="D11" i="3" s="1"/>
  <c r="E20" i="1"/>
  <c r="C11" i="3" s="1"/>
  <c r="C20" i="1"/>
  <c r="B11" i="3" s="1"/>
  <c r="AC20" i="1"/>
  <c r="AD20" i="1"/>
  <c r="K29" i="1"/>
  <c r="F20" i="3" s="1"/>
  <c r="AD37" i="1"/>
  <c r="AC37" i="1"/>
  <c r="AD19" i="1"/>
  <c r="AC19" i="1"/>
  <c r="AD86" i="1"/>
  <c r="AC86" i="1"/>
  <c r="Y135" i="1"/>
  <c r="M109" i="3" s="1"/>
  <c r="U135" i="1"/>
  <c r="K109" i="3" s="1"/>
  <c r="Q135" i="1"/>
  <c r="I109" i="3" s="1"/>
  <c r="W135" i="1"/>
  <c r="L109" i="3" s="1"/>
  <c r="S135" i="1"/>
  <c r="J109" i="3" s="1"/>
  <c r="O135" i="1"/>
  <c r="H109" i="3" s="1"/>
  <c r="M135" i="1"/>
  <c r="G109" i="3" s="1"/>
  <c r="I135" i="1"/>
  <c r="E109" i="3" s="1"/>
  <c r="K135" i="1"/>
  <c r="F109" i="3" s="1"/>
  <c r="G135" i="1"/>
  <c r="D109" i="3" s="1"/>
  <c r="E135" i="1"/>
  <c r="C109" i="3" s="1"/>
  <c r="C135" i="1"/>
  <c r="B109" i="3" s="1"/>
  <c r="AD135" i="1"/>
  <c r="Y129" i="1"/>
  <c r="M104" i="3" s="1"/>
  <c r="U129" i="1"/>
  <c r="K104" i="3" s="1"/>
  <c r="Q129" i="1"/>
  <c r="I104" i="3" s="1"/>
  <c r="W129" i="1"/>
  <c r="L104" i="3" s="1"/>
  <c r="S129" i="1"/>
  <c r="J104" i="3" s="1"/>
  <c r="O129" i="1"/>
  <c r="H104" i="3" s="1"/>
  <c r="M129" i="1"/>
  <c r="G104" i="3" s="1"/>
  <c r="I129" i="1"/>
  <c r="E104" i="3" s="1"/>
  <c r="AD129" i="1"/>
  <c r="K129" i="1"/>
  <c r="F104" i="3" s="1"/>
  <c r="G129" i="1"/>
  <c r="D104" i="3" s="1"/>
  <c r="E129" i="1"/>
  <c r="C104" i="3" s="1"/>
  <c r="C129" i="1"/>
  <c r="B104" i="3" s="1"/>
  <c r="Y79" i="1"/>
  <c r="M64" i="3" s="1"/>
  <c r="U79" i="1"/>
  <c r="K64" i="3" s="1"/>
  <c r="Q79" i="1"/>
  <c r="I64" i="3" s="1"/>
  <c r="W79" i="1"/>
  <c r="L64" i="3" s="1"/>
  <c r="S79" i="1"/>
  <c r="J64" i="3" s="1"/>
  <c r="M79" i="1"/>
  <c r="G64" i="3" s="1"/>
  <c r="I79" i="1"/>
  <c r="E64" i="3" s="1"/>
  <c r="O79" i="1"/>
  <c r="H64" i="3" s="1"/>
  <c r="K79" i="1"/>
  <c r="F64" i="3" s="1"/>
  <c r="G79" i="1"/>
  <c r="D64" i="3" s="1"/>
  <c r="E79" i="1"/>
  <c r="C64" i="3" s="1"/>
  <c r="C79" i="1"/>
  <c r="B64" i="3" s="1"/>
  <c r="AD79" i="1"/>
  <c r="AD51" i="1"/>
  <c r="AC79" i="1"/>
  <c r="AD96" i="1"/>
  <c r="AC133" i="1"/>
  <c r="AD124" i="1"/>
  <c r="AD90" i="1"/>
  <c r="AC135" i="1"/>
  <c r="Y105" i="1"/>
  <c r="M86" i="3" s="1"/>
  <c r="U105" i="1"/>
  <c r="K86" i="3" s="1"/>
  <c r="Q105" i="1"/>
  <c r="I86" i="3" s="1"/>
  <c r="W105" i="1"/>
  <c r="L86" i="3" s="1"/>
  <c r="S105" i="1"/>
  <c r="J86" i="3" s="1"/>
  <c r="Y99" i="1"/>
  <c r="M82" i="3" s="1"/>
  <c r="U99" i="1"/>
  <c r="K82" i="3" s="1"/>
  <c r="Q99" i="1"/>
  <c r="I82" i="3" s="1"/>
  <c r="W99" i="1"/>
  <c r="L82" i="3" s="1"/>
  <c r="S99" i="1"/>
  <c r="J82" i="3" s="1"/>
  <c r="Y94" i="1"/>
  <c r="M77" i="3" s="1"/>
  <c r="U94" i="1"/>
  <c r="K77" i="3" s="1"/>
  <c r="Q94" i="1"/>
  <c r="I77" i="3" s="1"/>
  <c r="W94" i="1"/>
  <c r="L77" i="3" s="1"/>
  <c r="S94" i="1"/>
  <c r="J77" i="3" s="1"/>
  <c r="Y88" i="1"/>
  <c r="M73" i="3" s="1"/>
  <c r="U88" i="1"/>
  <c r="K73" i="3" s="1"/>
  <c r="Q88" i="1"/>
  <c r="I73" i="3" s="1"/>
  <c r="W88" i="1"/>
  <c r="L73" i="3" s="1"/>
  <c r="S88" i="1"/>
  <c r="J73" i="3" s="1"/>
  <c r="Y84" i="1"/>
  <c r="M69" i="3" s="1"/>
  <c r="U84" i="1"/>
  <c r="K69" i="3" s="1"/>
  <c r="Q84" i="1"/>
  <c r="I69" i="3" s="1"/>
  <c r="W84" i="1"/>
  <c r="L69" i="3" s="1"/>
  <c r="S84" i="1"/>
  <c r="J69" i="3" s="1"/>
  <c r="Y118" i="1"/>
  <c r="M95" i="3" s="1"/>
  <c r="U118" i="1"/>
  <c r="K95" i="3" s="1"/>
  <c r="Q118" i="1"/>
  <c r="I95" i="3" s="1"/>
  <c r="W118" i="1"/>
  <c r="L95" i="3" s="1"/>
  <c r="S118" i="1"/>
  <c r="J95" i="3" s="1"/>
  <c r="Y113" i="1"/>
  <c r="M91" i="3" s="1"/>
  <c r="U113" i="1"/>
  <c r="K91" i="3" s="1"/>
  <c r="Q113" i="1"/>
  <c r="I91" i="3" s="1"/>
  <c r="W113" i="1"/>
  <c r="L91" i="3" s="1"/>
  <c r="S113" i="1"/>
  <c r="J91" i="3" s="1"/>
  <c r="Y67" i="1"/>
  <c r="M54" i="3" s="1"/>
  <c r="U67" i="1"/>
  <c r="K54" i="3" s="1"/>
  <c r="Q67" i="1"/>
  <c r="I54" i="3" s="1"/>
  <c r="W67" i="1"/>
  <c r="L54" i="3" s="1"/>
  <c r="S67" i="1"/>
  <c r="J54" i="3" s="1"/>
  <c r="Y61" i="1"/>
  <c r="M49" i="3" s="1"/>
  <c r="U61" i="1"/>
  <c r="K49" i="3" s="1"/>
  <c r="Q61" i="1"/>
  <c r="I49" i="3" s="1"/>
  <c r="W61" i="1"/>
  <c r="L49" i="3" s="1"/>
  <c r="S61" i="1"/>
  <c r="J49" i="3" s="1"/>
  <c r="Y57" i="1"/>
  <c r="M45" i="3" s="1"/>
  <c r="U57" i="1"/>
  <c r="K45" i="3" s="1"/>
  <c r="Q57" i="1"/>
  <c r="I45" i="3" s="1"/>
  <c r="W57" i="1"/>
  <c r="L45" i="3" s="1"/>
  <c r="S57" i="1"/>
  <c r="J45" i="3" s="1"/>
  <c r="Y53" i="1"/>
  <c r="M41" i="3" s="1"/>
  <c r="U53" i="1"/>
  <c r="K41" i="3" s="1"/>
  <c r="Q53" i="1"/>
  <c r="I41" i="3" s="1"/>
  <c r="W53" i="1"/>
  <c r="L41" i="3" s="1"/>
  <c r="S53" i="1"/>
  <c r="J41" i="3" s="1"/>
  <c r="Y49" i="1"/>
  <c r="M37" i="3" s="1"/>
  <c r="U49" i="1"/>
  <c r="K37" i="3" s="1"/>
  <c r="Q49" i="1"/>
  <c r="I37" i="3" s="1"/>
  <c r="W49" i="1"/>
  <c r="L37" i="3" s="1"/>
  <c r="S49" i="1"/>
  <c r="J37" i="3" s="1"/>
  <c r="Y25" i="1"/>
  <c r="M16" i="3" s="1"/>
  <c r="U25" i="1"/>
  <c r="K16" i="3" s="1"/>
  <c r="Q25" i="1"/>
  <c r="I16" i="3" s="1"/>
  <c r="W25" i="1"/>
  <c r="L16" i="3" s="1"/>
  <c r="S25" i="1"/>
  <c r="J16" i="3" s="1"/>
  <c r="Y125" i="1"/>
  <c r="M100" i="3" s="1"/>
  <c r="U125" i="1"/>
  <c r="K100" i="3" s="1"/>
  <c r="Q125" i="1"/>
  <c r="I100" i="3" s="1"/>
  <c r="W125" i="1"/>
  <c r="L100" i="3" s="1"/>
  <c r="S125" i="1"/>
  <c r="J100" i="3" s="1"/>
  <c r="Y72" i="1"/>
  <c r="M59" i="3" s="1"/>
  <c r="U72" i="1"/>
  <c r="K59" i="3" s="1"/>
  <c r="Q72" i="1"/>
  <c r="I59" i="3" s="1"/>
  <c r="W72" i="1"/>
  <c r="L59" i="3" s="1"/>
  <c r="S72" i="1"/>
  <c r="J59" i="3" s="1"/>
  <c r="Y31" i="1"/>
  <c r="M22" i="3" s="1"/>
  <c r="U31" i="1"/>
  <c r="K22" i="3" s="1"/>
  <c r="Q31" i="1"/>
  <c r="I22" i="3" s="1"/>
  <c r="W31" i="1"/>
  <c r="L22" i="3" s="1"/>
  <c r="S31" i="1"/>
  <c r="J22" i="3" s="1"/>
  <c r="Y24" i="1"/>
  <c r="M15" i="3" s="1"/>
  <c r="U24" i="1"/>
  <c r="K15" i="3" s="1"/>
  <c r="AC98" i="1" l="1"/>
  <c r="AD113" i="1"/>
  <c r="AD38" i="1"/>
  <c r="AD68" i="1"/>
  <c r="AD117" i="1"/>
  <c r="AD71" i="1"/>
  <c r="AC84" i="1"/>
  <c r="AD111" i="1"/>
  <c r="G61" i="1"/>
  <c r="D49" i="3" s="1"/>
  <c r="AC70" i="1"/>
  <c r="AD10" i="1"/>
  <c r="AD78" i="1"/>
  <c r="B77" i="5"/>
  <c r="AC52" i="1"/>
  <c r="AC48" i="1"/>
  <c r="AD94" i="1"/>
  <c r="AD13" i="1"/>
  <c r="AC53" i="1"/>
  <c r="AC50" i="1"/>
  <c r="AD56" i="1"/>
  <c r="E29" i="1"/>
  <c r="C20" i="3" s="1"/>
  <c r="H41" i="1"/>
  <c r="H42" i="1" s="1"/>
  <c r="F139" i="1"/>
  <c r="D113" i="5" s="1"/>
  <c r="AD80" i="1"/>
  <c r="AC59" i="1"/>
  <c r="AD106" i="1"/>
  <c r="AC94" i="1"/>
  <c r="AD34" i="1"/>
  <c r="AD89" i="1"/>
  <c r="AC89" i="1"/>
  <c r="G29" i="1"/>
  <c r="D20" i="3" s="1"/>
  <c r="I29" i="1"/>
  <c r="E20" i="3" s="1"/>
  <c r="AC54" i="1"/>
  <c r="F41" i="1"/>
  <c r="D30" i="5" s="1"/>
  <c r="AC12" i="1"/>
  <c r="G94" i="1"/>
  <c r="D77" i="3" s="1"/>
  <c r="AA39" i="1"/>
  <c r="AD39" i="1" s="1"/>
  <c r="AC24" i="1"/>
  <c r="D41" i="1"/>
  <c r="C30" i="5" s="1"/>
  <c r="K94" i="1"/>
  <c r="F77" i="3" s="1"/>
  <c r="AD21" i="1"/>
  <c r="J41" i="1"/>
  <c r="AD97" i="1"/>
  <c r="AC97" i="1"/>
  <c r="AC45" i="1"/>
  <c r="AD114" i="1"/>
  <c r="AD87" i="1"/>
  <c r="J139" i="1"/>
  <c r="F113" i="5" s="1"/>
  <c r="F49" i="5"/>
  <c r="AC74" i="1"/>
  <c r="F20" i="5"/>
  <c r="H139" i="1"/>
  <c r="E113" i="5" s="1"/>
  <c r="E30" i="5"/>
  <c r="AC82" i="1"/>
  <c r="AC83" i="1"/>
  <c r="D139" i="1"/>
  <c r="C113" i="5" s="1"/>
  <c r="AC72" i="1"/>
  <c r="B97" i="5"/>
  <c r="AD122" i="1"/>
  <c r="B49" i="5"/>
  <c r="B139" i="1"/>
  <c r="B140" i="1" s="1"/>
  <c r="B141" i="1" s="1"/>
  <c r="B30" i="5"/>
  <c r="AD58" i="1"/>
  <c r="AC91" i="1"/>
  <c r="AD91" i="1"/>
  <c r="AA138" i="1"/>
  <c r="AD138" i="1" s="1"/>
  <c r="B112" i="5"/>
  <c r="AD107" i="1"/>
  <c r="AC107" i="1"/>
  <c r="AC119" i="1"/>
  <c r="AD119" i="1"/>
  <c r="AC60" i="1"/>
  <c r="AD60" i="1"/>
  <c r="O68" i="1"/>
  <c r="H55" i="3" s="1"/>
  <c r="W68" i="1"/>
  <c r="L55" i="3" s="1"/>
  <c r="Y68" i="1"/>
  <c r="M55" i="3" s="1"/>
  <c r="E68" i="1"/>
  <c r="C55" i="3" s="1"/>
  <c r="G68" i="1"/>
  <c r="D55" i="3" s="1"/>
  <c r="Q68" i="1"/>
  <c r="I55" i="3" s="1"/>
  <c r="M68" i="1"/>
  <c r="G55" i="3" s="1"/>
  <c r="K68" i="1"/>
  <c r="F55" i="3" s="1"/>
  <c r="AB139" i="1"/>
  <c r="AB140" i="1" s="1"/>
  <c r="AB141" i="1" s="1"/>
  <c r="U68" i="1"/>
  <c r="K55" i="3" s="1"/>
  <c r="I68" i="1"/>
  <c r="E55" i="3" s="1"/>
  <c r="C68" i="1"/>
  <c r="B55" i="3" s="1"/>
  <c r="W80" i="1"/>
  <c r="L65" i="3" s="1"/>
  <c r="S80" i="1"/>
  <c r="J65" i="3" s="1"/>
  <c r="U80" i="1"/>
  <c r="K65" i="3" s="1"/>
  <c r="O80" i="1"/>
  <c r="H65" i="3" s="1"/>
  <c r="K80" i="1"/>
  <c r="F65" i="3" s="1"/>
  <c r="G80" i="1"/>
  <c r="D65" i="3" s="1"/>
  <c r="E80" i="1"/>
  <c r="C65" i="3" s="1"/>
  <c r="Q80" i="1"/>
  <c r="I65" i="3" s="1"/>
  <c r="I80" i="1"/>
  <c r="E65" i="3" s="1"/>
  <c r="Y80" i="1"/>
  <c r="M65" i="3" s="1"/>
  <c r="M80" i="1"/>
  <c r="G65" i="3" s="1"/>
  <c r="C80" i="1"/>
  <c r="B65" i="3" s="1"/>
  <c r="Y138" i="1"/>
  <c r="M112" i="3" s="1"/>
  <c r="U138" i="1"/>
  <c r="K112" i="3" s="1"/>
  <c r="S138" i="1"/>
  <c r="J112" i="3" s="1"/>
  <c r="M138" i="1"/>
  <c r="G112" i="3" s="1"/>
  <c r="I138" i="1"/>
  <c r="E112" i="3" s="1"/>
  <c r="W138" i="1"/>
  <c r="L112" i="3" s="1"/>
  <c r="O138" i="1"/>
  <c r="H112" i="3" s="1"/>
  <c r="G138" i="1"/>
  <c r="D112" i="3" s="1"/>
  <c r="E138" i="1"/>
  <c r="C112" i="3" s="1"/>
  <c r="C138" i="1"/>
  <c r="B112" i="3" s="1"/>
  <c r="K138" i="1"/>
  <c r="F112" i="3" s="1"/>
  <c r="Q138" i="1"/>
  <c r="I112" i="3" s="1"/>
  <c r="Y128" i="1"/>
  <c r="M103" i="3" s="1"/>
  <c r="U128" i="1"/>
  <c r="K103" i="3" s="1"/>
  <c r="W128" i="1"/>
  <c r="L103" i="3" s="1"/>
  <c r="O128" i="1"/>
  <c r="H103" i="3" s="1"/>
  <c r="Q128" i="1"/>
  <c r="I103" i="3" s="1"/>
  <c r="M128" i="1"/>
  <c r="G103" i="3" s="1"/>
  <c r="I128" i="1"/>
  <c r="E103" i="3" s="1"/>
  <c r="S128" i="1"/>
  <c r="J103" i="3" s="1"/>
  <c r="AD128" i="1"/>
  <c r="G128" i="1"/>
  <c r="D103" i="3" s="1"/>
  <c r="E128" i="1"/>
  <c r="C103" i="3" s="1"/>
  <c r="C128" i="1"/>
  <c r="B103" i="3" s="1"/>
  <c r="AC128" i="1"/>
  <c r="K128" i="1"/>
  <c r="F103" i="3" s="1"/>
  <c r="W74" i="1"/>
  <c r="L60" i="3" s="1"/>
  <c r="S74" i="1"/>
  <c r="J60" i="3" s="1"/>
  <c r="U74" i="1"/>
  <c r="K60" i="3" s="1"/>
  <c r="Q74" i="1"/>
  <c r="I60" i="3" s="1"/>
  <c r="O74" i="1"/>
  <c r="H60" i="3" s="1"/>
  <c r="K74" i="1"/>
  <c r="F60" i="3" s="1"/>
  <c r="G74" i="1"/>
  <c r="D60" i="3" s="1"/>
  <c r="E74" i="1"/>
  <c r="C60" i="3" s="1"/>
  <c r="Y74" i="1"/>
  <c r="M60" i="3" s="1"/>
  <c r="M74" i="1"/>
  <c r="G60" i="3" s="1"/>
  <c r="C74" i="1"/>
  <c r="B60" i="3" s="1"/>
  <c r="I74" i="1"/>
  <c r="E60" i="3" s="1"/>
  <c r="Y111" i="1"/>
  <c r="M89" i="3" s="1"/>
  <c r="U111" i="1"/>
  <c r="K89" i="3" s="1"/>
  <c r="W111" i="1"/>
  <c r="L89" i="3" s="1"/>
  <c r="Q111" i="1"/>
  <c r="I89" i="3" s="1"/>
  <c r="M111" i="1"/>
  <c r="G89" i="3" s="1"/>
  <c r="I111" i="1"/>
  <c r="E89" i="3" s="1"/>
  <c r="S111" i="1"/>
  <c r="J89" i="3" s="1"/>
  <c r="G111" i="1"/>
  <c r="D89" i="3" s="1"/>
  <c r="E111" i="1"/>
  <c r="C89" i="3" s="1"/>
  <c r="C111" i="1"/>
  <c r="B89" i="3" s="1"/>
  <c r="K111" i="1"/>
  <c r="F89" i="3" s="1"/>
  <c r="O111" i="1"/>
  <c r="H89" i="3" s="1"/>
  <c r="W39" i="1"/>
  <c r="L29" i="3" s="1"/>
  <c r="S39" i="1"/>
  <c r="J29" i="3" s="1"/>
  <c r="Y39" i="1"/>
  <c r="M29" i="3" s="1"/>
  <c r="U39" i="1"/>
  <c r="K29" i="3" s="1"/>
  <c r="Q39" i="1"/>
  <c r="I29" i="3" s="1"/>
  <c r="O39" i="1"/>
  <c r="H29" i="3" s="1"/>
  <c r="K39" i="1"/>
  <c r="F29" i="3" s="1"/>
  <c r="G39" i="1"/>
  <c r="D29" i="3" s="1"/>
  <c r="E39" i="1"/>
  <c r="C29" i="3" s="1"/>
  <c r="C39" i="1"/>
  <c r="B29" i="3" s="1"/>
  <c r="M39" i="1"/>
  <c r="G29" i="3" s="1"/>
  <c r="I39" i="1"/>
  <c r="E29" i="3" s="1"/>
  <c r="Y35" i="1"/>
  <c r="M25" i="3" s="1"/>
  <c r="U35" i="1"/>
  <c r="K25" i="3" s="1"/>
  <c r="S35" i="1"/>
  <c r="J25" i="3" s="1"/>
  <c r="M35" i="1"/>
  <c r="G25" i="3" s="1"/>
  <c r="I35" i="1"/>
  <c r="E25" i="3" s="1"/>
  <c r="W35" i="1"/>
  <c r="L25" i="3" s="1"/>
  <c r="Q35" i="1"/>
  <c r="I25" i="3" s="1"/>
  <c r="O35" i="1"/>
  <c r="H25" i="3" s="1"/>
  <c r="AC35" i="1"/>
  <c r="C35" i="1"/>
  <c r="B25" i="3" s="1"/>
  <c r="G35" i="1"/>
  <c r="D25" i="3" s="1"/>
  <c r="E35" i="1"/>
  <c r="C25" i="3" s="1"/>
  <c r="AD35" i="1"/>
  <c r="K35" i="1"/>
  <c r="F25" i="3" s="1"/>
  <c r="W21" i="1"/>
  <c r="L12" i="3" s="1"/>
  <c r="S21" i="1"/>
  <c r="J12" i="3" s="1"/>
  <c r="U21" i="1"/>
  <c r="K12" i="3" s="1"/>
  <c r="O21" i="1"/>
  <c r="H12" i="3" s="1"/>
  <c r="K21" i="1"/>
  <c r="F12" i="3" s="1"/>
  <c r="G21" i="1"/>
  <c r="D12" i="3" s="1"/>
  <c r="E21" i="1"/>
  <c r="C12" i="3" s="1"/>
  <c r="Q21" i="1"/>
  <c r="I12" i="3" s="1"/>
  <c r="I21" i="1"/>
  <c r="E12" i="3" s="1"/>
  <c r="M21" i="1"/>
  <c r="G12" i="3" s="1"/>
  <c r="AC21" i="1"/>
  <c r="Y21" i="1"/>
  <c r="M12" i="3" s="1"/>
  <c r="C21" i="1"/>
  <c r="B12" i="3" s="1"/>
  <c r="W122" i="1"/>
  <c r="L97" i="3" s="1"/>
  <c r="S122" i="1"/>
  <c r="J97" i="3" s="1"/>
  <c r="O122" i="1"/>
  <c r="H97" i="3" s="1"/>
  <c r="Y122" i="1"/>
  <c r="M97" i="3" s="1"/>
  <c r="U122" i="1"/>
  <c r="K97" i="3" s="1"/>
  <c r="Q122" i="1"/>
  <c r="I97" i="3" s="1"/>
  <c r="K122" i="1"/>
  <c r="F97" i="3" s="1"/>
  <c r="G122" i="1"/>
  <c r="D97" i="3" s="1"/>
  <c r="E122" i="1"/>
  <c r="C97" i="3" s="1"/>
  <c r="C122" i="1"/>
  <c r="B97" i="3" s="1"/>
  <c r="M122" i="1"/>
  <c r="G97" i="3" s="1"/>
  <c r="I122" i="1"/>
  <c r="E97" i="3" s="1"/>
  <c r="AC68" i="1" l="1"/>
  <c r="AC80" i="1"/>
  <c r="AC39" i="1"/>
  <c r="AC111" i="1"/>
  <c r="AD41" i="1"/>
  <c r="J42" i="1"/>
  <c r="J140" i="1" s="1"/>
  <c r="AC122" i="1"/>
  <c r="F42" i="1"/>
  <c r="F140" i="1" s="1"/>
  <c r="D42" i="1"/>
  <c r="C31" i="5" s="1"/>
  <c r="F30" i="5"/>
  <c r="AD74" i="1"/>
  <c r="AC29" i="1"/>
  <c r="AD29" i="1"/>
  <c r="E31" i="5"/>
  <c r="H140" i="1"/>
  <c r="AC61" i="1"/>
  <c r="AD61" i="1"/>
  <c r="AC138" i="1"/>
  <c r="B115" i="5"/>
  <c r="B113" i="5"/>
  <c r="AD139" i="1"/>
  <c r="Y139" i="1"/>
  <c r="M113" i="3" s="1"/>
  <c r="U139" i="1"/>
  <c r="K113" i="3" s="1"/>
  <c r="Q139" i="1"/>
  <c r="I113" i="3" s="1"/>
  <c r="W139" i="1"/>
  <c r="L113" i="3" s="1"/>
  <c r="S139" i="1"/>
  <c r="J113" i="3" s="1"/>
  <c r="O139" i="1"/>
  <c r="H113" i="3" s="1"/>
  <c r="M139" i="1"/>
  <c r="G113" i="3" s="1"/>
  <c r="I139" i="1"/>
  <c r="E113" i="3" s="1"/>
  <c r="K139" i="1"/>
  <c r="F113" i="3" s="1"/>
  <c r="G139" i="1"/>
  <c r="D113" i="3" s="1"/>
  <c r="E139" i="1"/>
  <c r="C113" i="3" s="1"/>
  <c r="C139" i="1"/>
  <c r="B113" i="3" s="1"/>
  <c r="Y41" i="1"/>
  <c r="M30" i="3" s="1"/>
  <c r="U41" i="1"/>
  <c r="K30" i="3" s="1"/>
  <c r="W41" i="1"/>
  <c r="L30" i="3" s="1"/>
  <c r="Q41" i="1"/>
  <c r="I30" i="3" s="1"/>
  <c r="M41" i="1"/>
  <c r="G30" i="3" s="1"/>
  <c r="I41" i="1"/>
  <c r="E30" i="3" s="1"/>
  <c r="S41" i="1"/>
  <c r="J30" i="3" s="1"/>
  <c r="G41" i="1"/>
  <c r="D30" i="3" s="1"/>
  <c r="E41" i="1"/>
  <c r="C30" i="3" s="1"/>
  <c r="K41" i="1"/>
  <c r="F30" i="3" s="1"/>
  <c r="O41" i="1"/>
  <c r="H30" i="3" s="1"/>
  <c r="C41" i="1"/>
  <c r="B30" i="3" s="1"/>
  <c r="AC41" i="1" l="1"/>
  <c r="D140" i="1"/>
  <c r="C114" i="5" s="1"/>
  <c r="F31" i="5"/>
  <c r="D31" i="5"/>
  <c r="J141" i="1"/>
  <c r="F115" i="5" s="1"/>
  <c r="F114" i="5"/>
  <c r="H141" i="1"/>
  <c r="E115" i="5" s="1"/>
  <c r="E114" i="5"/>
  <c r="F141" i="1"/>
  <c r="D115" i="5" s="1"/>
  <c r="D114" i="5"/>
  <c r="D141" i="1"/>
  <c r="AC139" i="1"/>
  <c r="B114" i="5"/>
  <c r="Y42" i="1"/>
  <c r="M31" i="3" s="1"/>
  <c r="U42" i="1"/>
  <c r="K31" i="3" s="1"/>
  <c r="Q42" i="1"/>
  <c r="I31" i="3" s="1"/>
  <c r="W42" i="1"/>
  <c r="L31" i="3" s="1"/>
  <c r="S42" i="1"/>
  <c r="J31" i="3" s="1"/>
  <c r="M42" i="1"/>
  <c r="G31" i="3" s="1"/>
  <c r="I42" i="1"/>
  <c r="E31" i="3" s="1"/>
  <c r="O42" i="1"/>
  <c r="H31" i="3" s="1"/>
  <c r="K42" i="1"/>
  <c r="F31" i="3" s="1"/>
  <c r="G42" i="1"/>
  <c r="D31" i="3" s="1"/>
  <c r="E42" i="1"/>
  <c r="C31" i="3" s="1"/>
  <c r="C42" i="1"/>
  <c r="B31" i="3" s="1"/>
  <c r="AD42" i="1" l="1"/>
  <c r="C115" i="5"/>
  <c r="W140" i="1"/>
  <c r="L114" i="3" s="1"/>
  <c r="S140" i="1"/>
  <c r="J114" i="3" s="1"/>
  <c r="U140" i="1"/>
  <c r="K114" i="3" s="1"/>
  <c r="O140" i="1"/>
  <c r="H114" i="3" s="1"/>
  <c r="K140" i="1"/>
  <c r="F114" i="3" s="1"/>
  <c r="G140" i="1"/>
  <c r="D114" i="3" s="1"/>
  <c r="E140" i="1"/>
  <c r="C114" i="3" s="1"/>
  <c r="C140" i="1"/>
  <c r="B114" i="3" s="1"/>
  <c r="Q140" i="1"/>
  <c r="I114" i="3" s="1"/>
  <c r="M140" i="1"/>
  <c r="G114" i="3" s="1"/>
  <c r="AC140" i="1"/>
  <c r="Y140" i="1"/>
  <c r="M114" i="3" s="1"/>
  <c r="AD140" i="1"/>
  <c r="I140" i="1"/>
  <c r="E114" i="3" s="1"/>
  <c r="W141" i="1" l="1"/>
  <c r="L115" i="3" s="1"/>
  <c r="S141" i="1"/>
  <c r="J115" i="3" s="1"/>
  <c r="O141" i="1"/>
  <c r="H115" i="3" s="1"/>
  <c r="Y141" i="1"/>
  <c r="M115" i="3" s="1"/>
  <c r="U141" i="1"/>
  <c r="K115" i="3" s="1"/>
  <c r="Q141" i="1"/>
  <c r="I115" i="3" s="1"/>
  <c r="K141" i="1"/>
  <c r="F115" i="3" s="1"/>
  <c r="G141" i="1"/>
  <c r="D115" i="3" s="1"/>
  <c r="E141" i="1"/>
  <c r="C115" i="3" s="1"/>
  <c r="C141" i="1"/>
  <c r="B115" i="3" s="1"/>
  <c r="M141" i="1"/>
  <c r="G115" i="3" s="1"/>
  <c r="I141" i="1"/>
  <c r="E115" i="3" s="1"/>
  <c r="AC141" i="1"/>
  <c r="AD141" i="1"/>
</calcChain>
</file>

<file path=xl/sharedStrings.xml><?xml version="1.0" encoding="utf-8"?>
<sst xmlns="http://schemas.openxmlformats.org/spreadsheetml/2006/main" count="474" uniqueCount="230">
  <si>
    <t xml:space="preserve">      4410 Webcast Income</t>
  </si>
  <si>
    <t xml:space="preserve">   Total 4400 Professional Development Income</t>
  </si>
  <si>
    <t xml:space="preserve">   4500 Public Information Income</t>
  </si>
  <si>
    <t xml:space="preserve">      4510 News - Calling Card Ads</t>
  </si>
  <si>
    <t xml:space="preserve">      4515 News - Subscriptions</t>
  </si>
  <si>
    <t xml:space="preserve">      4520 Web Ad</t>
  </si>
  <si>
    <t xml:space="preserve">   Total 4500 Public Information Income</t>
  </si>
  <si>
    <t xml:space="preserve">   4900 Interest Income</t>
  </si>
  <si>
    <t xml:space="preserve">      4905 Checking Account</t>
  </si>
  <si>
    <t xml:space="preserve">      4910 Savings Accounts</t>
  </si>
  <si>
    <t xml:space="preserve">   Total 4900 Interest Income</t>
  </si>
  <si>
    <t>Total Income</t>
  </si>
  <si>
    <t>Gross Profit</t>
  </si>
  <si>
    <t>Expenses</t>
  </si>
  <si>
    <t xml:space="preserve">   5100 Operations Expense</t>
  </si>
  <si>
    <t xml:space="preserve">      5105 Management</t>
  </si>
  <si>
    <t xml:space="preserve">      5110 Operations/Miscellaneous</t>
  </si>
  <si>
    <t xml:space="preserve">      5115 Board Meetings</t>
  </si>
  <si>
    <t xml:space="preserve">      5120 Insurance Expense</t>
  </si>
  <si>
    <t xml:space="preserve">      5125 Board Retreat</t>
  </si>
  <si>
    <t xml:space="preserve">      5135 Reimbursed Expense</t>
  </si>
  <si>
    <t xml:space="preserve">      5140 Telephone/Fax</t>
  </si>
  <si>
    <t xml:space="preserve">      5145 Office Supplies</t>
  </si>
  <si>
    <t xml:space="preserve">      5150 Postage</t>
  </si>
  <si>
    <t xml:space="preserve">      5155 Dues &amp; Subscriptions</t>
  </si>
  <si>
    <t xml:space="preserve">      5170 Storage</t>
  </si>
  <si>
    <t xml:space="preserve">      5175 Merchant Credit Card Fee</t>
  </si>
  <si>
    <t xml:space="preserve">      5180 ATEGO Resources</t>
  </si>
  <si>
    <t xml:space="preserve">      5185 New Horizon Enterprise</t>
  </si>
  <si>
    <t xml:space="preserve">      5190 Bank Charges</t>
  </si>
  <si>
    <t xml:space="preserve">   Total 5100 Operations Expense</t>
  </si>
  <si>
    <t xml:space="preserve">   5200 President Expense</t>
  </si>
  <si>
    <t xml:space="preserve">      5210 Meeting/Conference</t>
  </si>
  <si>
    <t xml:space="preserve">      5215 Travel</t>
  </si>
  <si>
    <t xml:space="preserve">      5220 President-Elect/Past President</t>
  </si>
  <si>
    <t xml:space="preserve">      5230 Student Representative</t>
  </si>
  <si>
    <t xml:space="preserve">   Total 5200 President Expense</t>
  </si>
  <si>
    <t xml:space="preserve">      5530 Awards Program - Website Update</t>
  </si>
  <si>
    <t xml:space="preserve">      5535 Webmaster - ATEGO</t>
  </si>
  <si>
    <t xml:space="preserve">      5540 Wesite Hosting/Support - DG</t>
  </si>
  <si>
    <t xml:space="preserve">      5545 Website Redesign - DG</t>
  </si>
  <si>
    <t xml:space="preserve">   Total 5500 Public Information Expense</t>
  </si>
  <si>
    <t xml:space="preserve">   5600 Administrative</t>
  </si>
  <si>
    <t xml:space="preserve">      5605 VP Administration Expense</t>
  </si>
  <si>
    <t xml:space="preserve">      5610 Awards</t>
  </si>
  <si>
    <t xml:space="preserve">      5615 Extra Award Expense</t>
  </si>
  <si>
    <t xml:space="preserve">      5620 Accounting/Tax Services</t>
  </si>
  <si>
    <t xml:space="preserve">      5625 Reserves/Savings Contributions</t>
  </si>
  <si>
    <t xml:space="preserve">      5630 UBIT Tax-Unrelated Business Inc</t>
  </si>
  <si>
    <t xml:space="preserve">      5645 Annual Report</t>
  </si>
  <si>
    <t xml:space="preserve">      5650 QBO Fee + Section Access</t>
  </si>
  <si>
    <t xml:space="preserve">      5655 Conference Profit Programs</t>
  </si>
  <si>
    <t xml:space="preserve">      5665 Section Accounting Update</t>
  </si>
  <si>
    <t xml:space="preserve">   Total 5600 Administrative</t>
  </si>
  <si>
    <t xml:space="preserve">   5700 Section Subventions</t>
  </si>
  <si>
    <t xml:space="preserve">      5705 Section Dues Rebates</t>
  </si>
  <si>
    <t xml:space="preserve">      5706 CM Fees</t>
  </si>
  <si>
    <t xml:space="preserve">      5715 Section State Conference Rebate</t>
  </si>
  <si>
    <t xml:space="preserve">      5720 Section State Conf. Rebate-PY</t>
  </si>
  <si>
    <t xml:space="preserve">      5725 Section Chapter-Only Rebate</t>
  </si>
  <si>
    <t xml:space="preserve">      5730 Section Grants &amp; Projects/Extra 2016 Conf Profits</t>
  </si>
  <si>
    <t xml:space="preserve">   Total 5700 Section Subventions</t>
  </si>
  <si>
    <t xml:space="preserve">   5900 Other Expenses</t>
  </si>
  <si>
    <t xml:space="preserve">      5905 Chapter Historian</t>
  </si>
  <si>
    <t xml:space="preserve">      5915 CSUN Archives</t>
  </si>
  <si>
    <t xml:space="preserve">      5920 Miscellaneous Expense</t>
  </si>
  <si>
    <t xml:space="preserve">      5925 PEN Expense</t>
  </si>
  <si>
    <t xml:space="preserve">   Total 5900 Other Expenses</t>
  </si>
  <si>
    <t xml:space="preserve">   6100 Commission &amp; Board Rep</t>
  </si>
  <si>
    <t xml:space="preserve">   6205 VP Conference Expense</t>
  </si>
  <si>
    <t>over Budget</t>
  </si>
  <si>
    <t>% of Budget</t>
  </si>
  <si>
    <t xml:space="preserve">   4000 Operations Income</t>
  </si>
  <si>
    <t xml:space="preserve">      4005 Reimbursement Income</t>
  </si>
  <si>
    <t xml:space="preserve">   Total 4000 Operations Income</t>
  </si>
  <si>
    <t xml:space="preserve">   4100 Dues &amp; Conference</t>
  </si>
  <si>
    <t xml:space="preserve">      4115 Dues - National Subvention</t>
  </si>
  <si>
    <t xml:space="preserve">      4120 Dues - Chapter Only</t>
  </si>
  <si>
    <t xml:space="preserve">      4125 Conference Profit</t>
  </si>
  <si>
    <t xml:space="preserve">      4126 Conference Profit - Prior Year</t>
  </si>
  <si>
    <t xml:space="preserve">      4127 Pre-Conference Session Profit</t>
  </si>
  <si>
    <t xml:space="preserve">      4128 Extra Conference Profit 2016 for Allocation</t>
  </si>
  <si>
    <t xml:space="preserve">   Total 4100 Dues &amp; Conference</t>
  </si>
  <si>
    <t xml:space="preserve">   4200 Administrative Income</t>
  </si>
  <si>
    <t xml:space="preserve">      4205 Extra Award Reimb</t>
  </si>
  <si>
    <t xml:space="preserve">   Total 4200 Administrative Income</t>
  </si>
  <si>
    <t xml:space="preserve">   4300 Miscellaneous Income</t>
  </si>
  <si>
    <t xml:space="preserve">   4400 Professional Development Income</t>
  </si>
  <si>
    <t xml:space="preserve">      4405 AICP Publications</t>
  </si>
  <si>
    <t xml:space="preserve">   6300 Marketing &amp; Membership</t>
  </si>
  <si>
    <t xml:space="preserve">      6305 VP Marketing &amp; Membership</t>
  </si>
  <si>
    <t xml:space="preserve">      6310 Membership Inclusion</t>
  </si>
  <si>
    <t xml:space="preserve">      6315 Young Planners Group</t>
  </si>
  <si>
    <t xml:space="preserve">      6320 Great Places</t>
  </si>
  <si>
    <t xml:space="preserve">      6325 University Liaison</t>
  </si>
  <si>
    <t xml:space="preserve">   Total 6300 Marketing &amp; Membership</t>
  </si>
  <si>
    <t>Total Expenses</t>
  </si>
  <si>
    <t>Net Operating Income</t>
  </si>
  <si>
    <t>Net Income</t>
  </si>
  <si>
    <t>Total</t>
  </si>
  <si>
    <t>YTD Actual</t>
    <phoneticPr fontId="6" type="noConversion"/>
  </si>
  <si>
    <t>Feb</t>
    <phoneticPr fontId="6" type="noConversion"/>
  </si>
  <si>
    <t>Jan</t>
    <phoneticPr fontId="6" type="noConversion"/>
  </si>
  <si>
    <t>Feb %</t>
    <phoneticPr fontId="6" type="noConversion"/>
  </si>
  <si>
    <t>Jan %</t>
    <phoneticPr fontId="6" type="noConversion"/>
  </si>
  <si>
    <t>Mar</t>
    <phoneticPr fontId="6" type="noConversion"/>
  </si>
  <si>
    <t>Mar %</t>
    <phoneticPr fontId="6" type="noConversion"/>
  </si>
  <si>
    <t>April</t>
    <phoneticPr fontId="6" type="noConversion"/>
  </si>
  <si>
    <t>April %</t>
    <phoneticPr fontId="6" type="noConversion"/>
  </si>
  <si>
    <t>May</t>
    <phoneticPr fontId="6" type="noConversion"/>
  </si>
  <si>
    <t>May %</t>
    <phoneticPr fontId="6" type="noConversion"/>
  </si>
  <si>
    <t>June</t>
    <phoneticPr fontId="6" type="noConversion"/>
  </si>
  <si>
    <t>June %</t>
    <phoneticPr fontId="6" type="noConversion"/>
  </si>
  <si>
    <t>July</t>
    <phoneticPr fontId="6" type="noConversion"/>
  </si>
  <si>
    <t>July %</t>
    <phoneticPr fontId="6" type="noConversion"/>
  </si>
  <si>
    <t>Aug</t>
    <phoneticPr fontId="6" type="noConversion"/>
  </si>
  <si>
    <t>Aug %</t>
    <phoneticPr fontId="6" type="noConversion"/>
  </si>
  <si>
    <t>Sept</t>
    <phoneticPr fontId="6" type="noConversion"/>
  </si>
  <si>
    <t>Sept %</t>
    <phoneticPr fontId="6" type="noConversion"/>
  </si>
  <si>
    <t>Oct</t>
    <phoneticPr fontId="6" type="noConversion"/>
  </si>
  <si>
    <t>Oct %</t>
    <phoneticPr fontId="6" type="noConversion"/>
  </si>
  <si>
    <t>Nov</t>
    <phoneticPr fontId="6" type="noConversion"/>
  </si>
  <si>
    <t>Nov %</t>
    <phoneticPr fontId="6" type="noConversion"/>
  </si>
  <si>
    <t>Dec</t>
    <phoneticPr fontId="6" type="noConversion"/>
  </si>
  <si>
    <t>Dec %</t>
    <phoneticPr fontId="6" type="noConversion"/>
  </si>
  <si>
    <t>Jan</t>
    <phoneticPr fontId="6" type="noConversion"/>
  </si>
  <si>
    <t>Feb</t>
    <phoneticPr fontId="6" type="noConversion"/>
  </si>
  <si>
    <t>Mar</t>
    <phoneticPr fontId="6" type="noConversion"/>
  </si>
  <si>
    <t>April</t>
    <phoneticPr fontId="6" type="noConversion"/>
  </si>
  <si>
    <t>May</t>
    <phoneticPr fontId="6" type="noConversion"/>
  </si>
  <si>
    <t>June</t>
    <phoneticPr fontId="6" type="noConversion"/>
  </si>
  <si>
    <t>July</t>
    <phoneticPr fontId="6" type="noConversion"/>
  </si>
  <si>
    <t>Aug</t>
    <phoneticPr fontId="6" type="noConversion"/>
  </si>
  <si>
    <t>Sept</t>
    <phoneticPr fontId="6" type="noConversion"/>
  </si>
  <si>
    <t>Nov</t>
    <phoneticPr fontId="6" type="noConversion"/>
  </si>
  <si>
    <t>Dec</t>
    <phoneticPr fontId="6" type="noConversion"/>
  </si>
  <si>
    <t>Income</t>
    <phoneticPr fontId="6" type="noConversion"/>
  </si>
  <si>
    <t>Budget for the Year</t>
    <phoneticPr fontId="6" type="noConversion"/>
  </si>
  <si>
    <t xml:space="preserve">   5300 Policy &amp; Legislation</t>
  </si>
  <si>
    <t xml:space="preserve">      5305 Lobbying Expenses</t>
  </si>
  <si>
    <t xml:space="preserve">      5310 FPPC Quarterly Filing Fees</t>
  </si>
  <si>
    <t xml:space="preserve">      5315 VP Policy &amp; Legislation/Review</t>
  </si>
  <si>
    <t xml:space="preserve">   Total 5300 Policy &amp; Legislation</t>
  </si>
  <si>
    <t xml:space="preserve">   5400 Professional Developement</t>
  </si>
  <si>
    <t xml:space="preserve">      5405 VP Professional Developement</t>
  </si>
  <si>
    <t xml:space="preserve">      5415 Webinars/Workshops</t>
  </si>
  <si>
    <t xml:space="preserve">      5420 AICP Publications</t>
  </si>
  <si>
    <t xml:space="preserve">   Total 5400 Professional Developement</t>
  </si>
  <si>
    <t xml:space="preserve">   5500 Public Information Expense</t>
  </si>
  <si>
    <t xml:space="preserve">      5505 V.P. for Public Information Exp</t>
  </si>
  <si>
    <t xml:space="preserve">      5510 Directory Maintenance - NHE</t>
  </si>
  <si>
    <t xml:space="preserve">      5515 News Distributions - ATEGO</t>
  </si>
  <si>
    <t xml:space="preserve">      5520 News &amp; Design - Gran Designs</t>
  </si>
  <si>
    <t xml:space="preserve">      5521 News Production - Proofreader</t>
  </si>
  <si>
    <t xml:space="preserve">      5525 News Management - NHE</t>
  </si>
  <si>
    <t>APA CHAPTER</t>
  </si>
  <si>
    <t>BUDGET</t>
  </si>
  <si>
    <r>
      <t xml:space="preserve">4510 News - </t>
    </r>
    <r>
      <rPr>
        <b/>
        <sz val="8"/>
        <color rgb="FFFF0000"/>
        <rFont val="Arial"/>
        <family val="2"/>
      </rPr>
      <t>Calling Card</t>
    </r>
    <r>
      <rPr>
        <b/>
        <sz val="8"/>
        <color indexed="8"/>
        <rFont val="Arial"/>
        <family val="2"/>
      </rPr>
      <t xml:space="preserve"> Ads</t>
    </r>
  </si>
  <si>
    <t>Delete CC - All Ads</t>
  </si>
  <si>
    <t xml:space="preserve">      4520 Web Ads</t>
  </si>
  <si>
    <r>
      <t xml:space="preserve">   5305 Lobbying</t>
    </r>
    <r>
      <rPr>
        <b/>
        <sz val="8"/>
        <color rgb="FFFF0000"/>
        <rFont val="Arial"/>
        <family val="2"/>
      </rPr>
      <t xml:space="preserve"> Expenses</t>
    </r>
  </si>
  <si>
    <t>Change to Services</t>
  </si>
  <si>
    <r>
      <t xml:space="preserve">    </t>
    </r>
    <r>
      <rPr>
        <b/>
        <sz val="8"/>
        <color rgb="FFFF0000"/>
        <rFont val="Arial"/>
        <family val="2"/>
      </rPr>
      <t xml:space="preserve"> 5320 National Leg Rep</t>
    </r>
  </si>
  <si>
    <t>Add back in</t>
  </si>
  <si>
    <t xml:space="preserve">     5530 Awards Prog Update-Web-NH</t>
  </si>
  <si>
    <r>
      <t xml:space="preserve">      5540 Website Hosting/Support</t>
    </r>
    <r>
      <rPr>
        <b/>
        <sz val="8"/>
        <color rgb="FFFF0000"/>
        <rFont val="Arial"/>
        <family val="2"/>
      </rPr>
      <t>-DG</t>
    </r>
  </si>
  <si>
    <t>Delete DG</t>
  </si>
  <si>
    <t xml:space="preserve">      5620 Accounting/Tax Servces</t>
  </si>
  <si>
    <t>Add Bookkeeping/</t>
  </si>
  <si>
    <t>2019 Draft APA California Budget</t>
  </si>
  <si>
    <t>One time -Delete</t>
  </si>
  <si>
    <t xml:space="preserve">      5665 Travel - National Conf - Staff</t>
  </si>
  <si>
    <t>Based on actual</t>
  </si>
  <si>
    <t>Transfer to 2019</t>
  </si>
  <si>
    <t>Charging more 2019</t>
  </si>
  <si>
    <t>Plus $6000 re</t>
  </si>
  <si>
    <t>extra work S/G</t>
  </si>
  <si>
    <t>Est 2019 costs</t>
  </si>
  <si>
    <t>$5000 Chap Recep</t>
  </si>
  <si>
    <t>Increase webinars</t>
  </si>
  <si>
    <t>Administrators' Sess</t>
  </si>
  <si>
    <t xml:space="preserve">$2000 for 2019 </t>
  </si>
  <si>
    <t>redesign w/National</t>
  </si>
  <si>
    <t>$10,00 for fin rev</t>
  </si>
  <si>
    <t>Accountant est</t>
  </si>
  <si>
    <t>Add in Jan if applic</t>
  </si>
  <si>
    <t>Staff travel to Nat</t>
  </si>
  <si>
    <t>New - Add for</t>
  </si>
  <si>
    <t>10% inc re 4120</t>
  </si>
  <si>
    <t xml:space="preserve">2018 above </t>
  </si>
  <si>
    <t>Add actual in Jan for</t>
  </si>
  <si>
    <t>Add in Jan if funds</t>
  </si>
  <si>
    <t>allow</t>
  </si>
  <si>
    <t>Increase by $2000</t>
  </si>
  <si>
    <t>to attend Nat Conf</t>
  </si>
  <si>
    <t>17% of $380,000</t>
  </si>
  <si>
    <t>*USES</t>
  </si>
  <si>
    <t>$20,000 FOR SECTION SUPPPORT, INCLUDING $4,800 FOR ONE TIME GRANTS TO SECTIONS</t>
  </si>
  <si>
    <t>($600 MAXIMUM PER SECTION), UPON REQUEST TO THE BOARD</t>
  </si>
  <si>
    <t>$15,200 FOR MULTI-SECTION INITIATIVES OR CHAPTER-WIDE INITIATIVES THAT SUPPORT SECTIONS THROUGH</t>
  </si>
  <si>
    <t>PROGRAMMING, TRAINING, MARKETING OR OTHER RESOURCES</t>
  </si>
  <si>
    <t>REMAINING AMOUNT ORIGINALLY ALLOCATED FOR THE FOLLOWING:</t>
  </si>
  <si>
    <t>BELOW</t>
  </si>
  <si>
    <t>*SEE USES OF FUNDS</t>
  </si>
  <si>
    <t>UPDATED JANUARY 9, 2019</t>
  </si>
  <si>
    <t>UPDATES BASED ON FINAL 2018 INCOME AND EXPENDITURES</t>
  </si>
  <si>
    <t>NOTES</t>
  </si>
  <si>
    <t>2018 100%</t>
  </si>
  <si>
    <t>Eliminate this item</t>
  </si>
  <si>
    <t>Revenue</t>
  </si>
  <si>
    <t>Total  Revenue</t>
  </si>
  <si>
    <t>9200 Federal Tax Return</t>
  </si>
  <si>
    <t>3135..</t>
  </si>
  <si>
    <t>Do not use</t>
  </si>
  <si>
    <t>Includes Bd Reception</t>
  </si>
  <si>
    <t>Includes  Nat Conf</t>
  </si>
  <si>
    <t>5555 Other Public Info</t>
  </si>
  <si>
    <t>Included Restock 2018</t>
  </si>
  <si>
    <t>Upgraded awards</t>
  </si>
  <si>
    <t>Add New Item for Preconf Session Exp</t>
  </si>
  <si>
    <t>Net Revenue</t>
  </si>
  <si>
    <t>*First 2019 Payments to Contractors Made 12/31</t>
  </si>
  <si>
    <t>$25 per month now</t>
  </si>
  <si>
    <t>Chap Profit $100,502</t>
  </si>
  <si>
    <t>RED = LINE ITEMS CHANGED FROM 2018</t>
  </si>
  <si>
    <t xml:space="preserve">      5210 Meeting &amp; Conference/State</t>
  </si>
  <si>
    <t xml:space="preserve">      5215 Travel/National</t>
  </si>
  <si>
    <t>NOTE: PLACEHOLDER AMOUNT ONLY</t>
  </si>
  <si>
    <t>$24,000/7 or $3428 p/S</t>
  </si>
  <si>
    <t>$100,502 Host S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</si>
</sst>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#,##0.00\ _€"/>
    <numFmt numFmtId="165" formatCode="&quot;$&quot;* #,##0.00\ _€"/>
    <numFmt numFmtId="166" formatCode="&quot;$&quot;#,##0.00"/>
  </numFmts>
  <fonts count="33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8"/>
      <name val="Verdana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8"/>
      <color rgb="FF7030A0"/>
      <name val="Arial"/>
      <family val="2"/>
    </font>
    <font>
      <b/>
      <sz val="11"/>
      <color rgb="FF7030A0"/>
      <name val="Calibri"/>
      <family val="2"/>
      <scheme val="minor"/>
    </font>
    <font>
      <sz val="18"/>
      <color rgb="FF0070C0"/>
      <name val="Calibri Light (Headings)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rgb="FF0070C0"/>
      <name val="Arial"/>
      <family val="2"/>
    </font>
    <font>
      <b/>
      <sz val="2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(Body)_x0000_"/>
    </font>
    <font>
      <b/>
      <sz val="11"/>
      <color theme="1"/>
      <name val="Calibri (Body)_x0000_"/>
    </font>
    <font>
      <b/>
      <sz val="11"/>
      <color theme="1"/>
      <name val="Calibri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" fillId="2" borderId="3" xfId="0" applyFont="1" applyFill="1" applyBorder="1" applyAlignment="1">
      <alignment horizontal="left" wrapText="1"/>
    </xf>
    <xf numFmtId="0" fontId="7" fillId="0" borderId="0" xfId="0" applyFont="1"/>
    <xf numFmtId="10" fontId="2" fillId="0" borderId="0" xfId="0" applyNumberFormat="1" applyFont="1" applyAlignment="1">
      <alignment horizontal="left" wrapText="1"/>
    </xf>
    <xf numFmtId="10" fontId="2" fillId="0" borderId="0" xfId="0" applyNumberFormat="1" applyFont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0" fontId="2" fillId="0" borderId="0" xfId="0" applyNumberFormat="1" applyFont="1" applyFill="1" applyBorder="1" applyAlignment="1">
      <alignment horizontal="left" wrapText="1"/>
    </xf>
    <xf numFmtId="10" fontId="2" fillId="0" borderId="2" xfId="0" applyNumberFormat="1" applyFont="1" applyBorder="1" applyAlignment="1">
      <alignment horizontal="left" wrapText="1"/>
    </xf>
    <xf numFmtId="10" fontId="2" fillId="0" borderId="4" xfId="0" applyNumberFormat="1" applyFont="1" applyBorder="1" applyAlignment="1">
      <alignment horizontal="left" wrapText="1"/>
    </xf>
    <xf numFmtId="10" fontId="2" fillId="0" borderId="5" xfId="0" applyNumberFormat="1" applyFont="1" applyBorder="1" applyAlignment="1">
      <alignment horizontal="left" wrapText="1"/>
    </xf>
    <xf numFmtId="10" fontId="2" fillId="0" borderId="1" xfId="0" applyNumberFormat="1" applyFont="1" applyBorder="1" applyAlignment="1">
      <alignment horizontal="left" wrapText="1"/>
    </xf>
    <xf numFmtId="10" fontId="2" fillId="0" borderId="6" xfId="0" applyNumberFormat="1" applyFont="1" applyBorder="1" applyAlignment="1">
      <alignment horizontal="left" wrapText="1"/>
    </xf>
    <xf numFmtId="10" fontId="0" fillId="0" borderId="0" xfId="0" applyNumberFormat="1"/>
    <xf numFmtId="166" fontId="0" fillId="0" borderId="0" xfId="0" applyNumberFormat="1"/>
    <xf numFmtId="0" fontId="2" fillId="0" borderId="0" xfId="0" applyFont="1" applyFill="1" applyAlignment="1">
      <alignment horizontal="left" wrapText="1"/>
    </xf>
    <xf numFmtId="164" fontId="3" fillId="3" borderId="3" xfId="0" applyNumberFormat="1" applyFont="1" applyFill="1" applyBorder="1" applyAlignment="1">
      <alignment wrapText="1"/>
    </xf>
    <xf numFmtId="165" fontId="2" fillId="3" borderId="3" xfId="0" applyNumberFormat="1" applyFont="1" applyFill="1" applyBorder="1" applyAlignment="1">
      <alignment horizontal="right" wrapText="1"/>
    </xf>
    <xf numFmtId="164" fontId="3" fillId="3" borderId="3" xfId="0" applyNumberFormat="1" applyFont="1" applyFill="1" applyBorder="1" applyAlignment="1">
      <alignment horizontal="right" wrapText="1"/>
    </xf>
    <xf numFmtId="164" fontId="3" fillId="5" borderId="3" xfId="0" applyNumberFormat="1" applyFont="1" applyFill="1" applyBorder="1" applyAlignment="1">
      <alignment horizontal="right" wrapText="1"/>
    </xf>
    <xf numFmtId="165" fontId="2" fillId="5" borderId="3" xfId="0" applyNumberFormat="1" applyFont="1" applyFill="1" applyBorder="1" applyAlignment="1">
      <alignment horizontal="right" wrapText="1"/>
    </xf>
    <xf numFmtId="164" fontId="3" fillId="5" borderId="3" xfId="0" applyNumberFormat="1" applyFont="1" applyFill="1" applyBorder="1" applyAlignment="1">
      <alignment wrapText="1"/>
    </xf>
    <xf numFmtId="10" fontId="3" fillId="6" borderId="3" xfId="0" applyNumberFormat="1" applyFont="1" applyFill="1" applyBorder="1" applyAlignment="1">
      <alignment horizontal="right" wrapText="1"/>
    </xf>
    <xf numFmtId="10" fontId="2" fillId="6" borderId="3" xfId="0" applyNumberFormat="1" applyFont="1" applyFill="1" applyBorder="1" applyAlignment="1">
      <alignment horizontal="right" wrapText="1"/>
    </xf>
    <xf numFmtId="164" fontId="3" fillId="6" borderId="3" xfId="0" applyNumberFormat="1" applyFont="1" applyFill="1" applyBorder="1" applyAlignment="1">
      <alignment wrapText="1"/>
    </xf>
    <xf numFmtId="164" fontId="8" fillId="3" borderId="3" xfId="0" applyNumberFormat="1" applyFont="1" applyFill="1" applyBorder="1" applyAlignment="1">
      <alignment wrapText="1"/>
    </xf>
    <xf numFmtId="165" fontId="9" fillId="3" borderId="3" xfId="0" applyNumberFormat="1" applyFont="1" applyFill="1" applyBorder="1" applyAlignment="1">
      <alignment horizontal="right" wrapText="1"/>
    </xf>
    <xf numFmtId="164" fontId="8" fillId="3" borderId="3" xfId="0" applyNumberFormat="1" applyFont="1" applyFill="1" applyBorder="1" applyAlignment="1">
      <alignment horizontal="right" wrapText="1"/>
    </xf>
    <xf numFmtId="164" fontId="3" fillId="4" borderId="7" xfId="0" applyNumberFormat="1" applyFont="1" applyFill="1" applyBorder="1" applyAlignment="1">
      <alignment horizontal="right" wrapText="1"/>
    </xf>
    <xf numFmtId="165" fontId="2" fillId="4" borderId="7" xfId="0" applyNumberFormat="1" applyFont="1" applyFill="1" applyBorder="1" applyAlignment="1">
      <alignment horizontal="right" wrapText="1"/>
    </xf>
    <xf numFmtId="164" fontId="3" fillId="4" borderId="7" xfId="0" applyNumberFormat="1" applyFont="1" applyFill="1" applyBorder="1" applyAlignment="1">
      <alignment wrapText="1"/>
    </xf>
    <xf numFmtId="164" fontId="3" fillId="3" borderId="8" xfId="0" applyNumberFormat="1" applyFont="1" applyFill="1" applyBorder="1" applyAlignment="1">
      <alignment horizontal="right" wrapText="1"/>
    </xf>
    <xf numFmtId="165" fontId="2" fillId="3" borderId="9" xfId="0" applyNumberFormat="1" applyFont="1" applyFill="1" applyBorder="1" applyAlignment="1">
      <alignment horizontal="right" wrapText="1"/>
    </xf>
    <xf numFmtId="164" fontId="3" fillId="3" borderId="9" xfId="0" applyNumberFormat="1" applyFont="1" applyFill="1" applyBorder="1" applyAlignment="1">
      <alignment wrapText="1"/>
    </xf>
    <xf numFmtId="164" fontId="3" fillId="3" borderId="9" xfId="0" applyNumberFormat="1" applyFont="1" applyFill="1" applyBorder="1" applyAlignment="1">
      <alignment horizontal="right" wrapText="1"/>
    </xf>
    <xf numFmtId="165" fontId="2" fillId="3" borderId="10" xfId="0" applyNumberFormat="1" applyFont="1" applyFill="1" applyBorder="1" applyAlignment="1">
      <alignment horizontal="right" wrapText="1"/>
    </xf>
    <xf numFmtId="44" fontId="2" fillId="2" borderId="3" xfId="1" applyFont="1" applyFill="1" applyBorder="1" applyAlignment="1">
      <alignment horizontal="left" wrapText="1"/>
    </xf>
    <xf numFmtId="0" fontId="13" fillId="0" borderId="11" xfId="0" applyFont="1" applyBorder="1" applyAlignment="1">
      <alignment horizontal="center"/>
    </xf>
    <xf numFmtId="0" fontId="12" fillId="0" borderId="12" xfId="0" applyFont="1" applyFill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13" fillId="0" borderId="15" xfId="0" applyFont="1" applyBorder="1" applyAlignment="1">
      <alignment horizontal="left"/>
    </xf>
    <xf numFmtId="9" fontId="0" fillId="0" borderId="0" xfId="0" applyNumberFormat="1" applyAlignment="1">
      <alignment wrapText="1"/>
    </xf>
    <xf numFmtId="0" fontId="14" fillId="0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17" fillId="0" borderId="0" xfId="0" applyFont="1"/>
    <xf numFmtId="0" fontId="17" fillId="0" borderId="0" xfId="0" applyFont="1" applyAlignment="1"/>
    <xf numFmtId="0" fontId="18" fillId="0" borderId="13" xfId="0" applyFont="1" applyBorder="1" applyAlignment="1">
      <alignment horizontal="left" wrapText="1"/>
    </xf>
    <xf numFmtId="0" fontId="0" fillId="0" borderId="14" xfId="0" applyBorder="1" applyAlignment="1"/>
    <xf numFmtId="0" fontId="19" fillId="0" borderId="15" xfId="0" applyFont="1" applyBorder="1" applyAlignment="1"/>
    <xf numFmtId="0" fontId="18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/>
    <xf numFmtId="0" fontId="23" fillId="0" borderId="0" xfId="0" applyFont="1" applyAlignment="1">
      <alignment horizontal="left" wrapText="1"/>
    </xf>
    <xf numFmtId="164" fontId="2" fillId="3" borderId="9" xfId="0" applyNumberFormat="1" applyFont="1" applyFill="1" applyBorder="1" applyAlignment="1">
      <alignment horizontal="right" wrapText="1"/>
    </xf>
    <xf numFmtId="164" fontId="2" fillId="4" borderId="7" xfId="0" applyNumberFormat="1" applyFont="1" applyFill="1" applyBorder="1" applyAlignment="1">
      <alignment horizontal="right" wrapText="1"/>
    </xf>
    <xf numFmtId="164" fontId="2" fillId="5" borderId="3" xfId="0" applyNumberFormat="1" applyFont="1" applyFill="1" applyBorder="1" applyAlignment="1">
      <alignment horizontal="right" wrapText="1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26" fillId="0" borderId="12" xfId="0" applyFont="1" applyFill="1" applyBorder="1" applyAlignment="1">
      <alignment horizontal="center" wrapText="1"/>
    </xf>
    <xf numFmtId="0" fontId="25" fillId="0" borderId="11" xfId="0" applyFont="1" applyBorder="1" applyAlignment="1">
      <alignment horizontal="center"/>
    </xf>
    <xf numFmtId="0" fontId="27" fillId="0" borderId="0" xfId="0" applyFont="1"/>
    <xf numFmtId="0" fontId="25" fillId="0" borderId="0" xfId="0" applyFont="1"/>
    <xf numFmtId="0" fontId="28" fillId="0" borderId="0" xfId="0" applyFont="1"/>
    <xf numFmtId="0" fontId="29" fillId="0" borderId="0" xfId="0" applyFont="1"/>
    <xf numFmtId="6" fontId="29" fillId="0" borderId="0" xfId="0" applyNumberFormat="1" applyFont="1" applyAlignment="1">
      <alignment horizontal="left"/>
    </xf>
    <xf numFmtId="0" fontId="30" fillId="0" borderId="0" xfId="0" applyFont="1"/>
    <xf numFmtId="164" fontId="31" fillId="7" borderId="7" xfId="0" applyNumberFormat="1" applyFont="1" applyFill="1" applyBorder="1" applyAlignment="1">
      <alignment horizontal="right" wrapText="1"/>
    </xf>
    <xf numFmtId="165" fontId="15" fillId="7" borderId="7" xfId="0" applyNumberFormat="1" applyFont="1" applyFill="1" applyBorder="1" applyAlignment="1">
      <alignment horizontal="right" wrapText="1"/>
    </xf>
    <xf numFmtId="164" fontId="31" fillId="7" borderId="7" xfId="0" applyNumberFormat="1" applyFont="1" applyFill="1" applyBorder="1" applyAlignment="1">
      <alignment wrapText="1"/>
    </xf>
    <xf numFmtId="164" fontId="15" fillId="7" borderId="7" xfId="0" applyNumberFormat="1" applyFont="1" applyFill="1" applyBorder="1" applyAlignment="1">
      <alignment horizontal="right" wrapText="1"/>
    </xf>
    <xf numFmtId="0" fontId="11" fillId="0" borderId="0" xfId="0" applyFont="1" applyAlignment="1"/>
    <xf numFmtId="0" fontId="15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164" fontId="32" fillId="3" borderId="9" xfId="0" applyNumberFormat="1" applyFont="1" applyFill="1" applyBorder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/>
  <colors>
    <mruColors>
      <color rgb="FFFFFF99"/>
      <color rgb="FFCCFF99"/>
      <color rgb="FFCCFF66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Expenses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Monthly Expensed</c:v>
          </c:tx>
          <c:invertIfNegative val="0"/>
          <c:val>
            <c:numRef>
              <c:f>'Monthly Actuals'!$B$113:$M$113</c:f>
              <c:numCache>
                <c:formatCode>"$"#,##0.00</c:formatCode>
                <c:ptCount val="12"/>
                <c:pt idx="0">
                  <c:v>129879.34</c:v>
                </c:pt>
                <c:pt idx="1">
                  <c:v>67215.149999999994</c:v>
                </c:pt>
                <c:pt idx="2">
                  <c:v>46296.4</c:v>
                </c:pt>
                <c:pt idx="3">
                  <c:v>20266.580000000002</c:v>
                </c:pt>
                <c:pt idx="4">
                  <c:v>57940.18</c:v>
                </c:pt>
                <c:pt idx="5">
                  <c:v>49544.38</c:v>
                </c:pt>
                <c:pt idx="6">
                  <c:v>39696.6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4-4A79-A1B9-AA408DB7E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442856"/>
        <c:axId val="255099320"/>
      </c:barChart>
      <c:catAx>
        <c:axId val="255442856"/>
        <c:scaling>
          <c:orientation val="minMax"/>
        </c:scaling>
        <c:delete val="0"/>
        <c:axPos val="b"/>
        <c:majorTickMark val="out"/>
        <c:minorTickMark val="none"/>
        <c:tickLblPos val="nextTo"/>
        <c:crossAx val="255099320"/>
        <c:crosses val="autoZero"/>
        <c:auto val="1"/>
        <c:lblAlgn val="ctr"/>
        <c:lblOffset val="100"/>
        <c:noMultiLvlLbl val="0"/>
      </c:catAx>
      <c:valAx>
        <c:axId val="25509932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25544285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Income by Month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Monthly Income</c:v>
          </c:tx>
          <c:invertIfNegative val="0"/>
          <c:cat>
            <c:strRef>
              <c:f>'Monthly Actuals'!$B$1:$M$1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Actuals'!$B$113:$M$113</c:f>
              <c:numCache>
                <c:formatCode>"$"#,##0.00</c:formatCode>
                <c:ptCount val="12"/>
                <c:pt idx="0">
                  <c:v>129879.34</c:v>
                </c:pt>
                <c:pt idx="1">
                  <c:v>67215.149999999994</c:v>
                </c:pt>
                <c:pt idx="2">
                  <c:v>46296.4</c:v>
                </c:pt>
                <c:pt idx="3">
                  <c:v>20266.580000000002</c:v>
                </c:pt>
                <c:pt idx="4">
                  <c:v>57940.18</c:v>
                </c:pt>
                <c:pt idx="5">
                  <c:v>49544.38</c:v>
                </c:pt>
                <c:pt idx="6">
                  <c:v>39696.6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5-4B5C-8F49-239AFE6DD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545048"/>
        <c:axId val="256434936"/>
      </c:barChart>
      <c:catAx>
        <c:axId val="469545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6434936"/>
        <c:crosses val="autoZero"/>
        <c:auto val="1"/>
        <c:lblAlgn val="ctr"/>
        <c:lblOffset val="100"/>
        <c:noMultiLvlLbl val="0"/>
      </c:catAx>
      <c:valAx>
        <c:axId val="25643493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469545048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Expenses by</a:t>
            </a:r>
            <a:r>
              <a:rPr lang="en-US" baseline="0"/>
              <a:t> Month </a:t>
            </a:r>
          </a:p>
          <a:p>
            <a:pPr>
              <a:defRPr/>
            </a:pPr>
            <a:r>
              <a:rPr lang="en-US" baseline="0"/>
              <a:t>% of Yearly Budget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Percentages'!$A$113</c:f>
              <c:strCache>
                <c:ptCount val="1"/>
                <c:pt idx="0">
                  <c:v>Total Expenses</c:v>
                </c:pt>
              </c:strCache>
            </c:strRef>
          </c:tx>
          <c:invertIfNegative val="0"/>
          <c:cat>
            <c:strRef>
              <c:f>'Monthly Percentages'!$B$1:$M$1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Percentages'!$B$113:$M$113</c:f>
              <c:numCache>
                <c:formatCode>0.00%</c:formatCode>
                <c:ptCount val="12"/>
                <c:pt idx="0">
                  <c:v>0.19660703399298093</c:v>
                </c:pt>
                <c:pt idx="1">
                  <c:v>0.10174806309374002</c:v>
                </c:pt>
                <c:pt idx="2">
                  <c:v>7.0081953669864999E-2</c:v>
                </c:pt>
                <c:pt idx="3">
                  <c:v>3.0678876124420312E-2</c:v>
                </c:pt>
                <c:pt idx="4">
                  <c:v>8.7707921358542745E-2</c:v>
                </c:pt>
                <c:pt idx="5">
                  <c:v>7.4998637988314118E-2</c:v>
                </c:pt>
                <c:pt idx="6">
                  <c:v>6.0091395487579219E-2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E-4DEA-972A-CCC92B46A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297928"/>
        <c:axId val="272819368"/>
      </c:barChart>
      <c:catAx>
        <c:axId val="385297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2819368"/>
        <c:crosses val="autoZero"/>
        <c:auto val="1"/>
        <c:lblAlgn val="ctr"/>
        <c:lblOffset val="100"/>
        <c:noMultiLvlLbl val="0"/>
      </c:catAx>
      <c:valAx>
        <c:axId val="2728193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85297928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0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79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79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79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1"/>
  <sheetViews>
    <sheetView tabSelected="1" workbookViewId="0">
      <selection activeCell="A116" sqref="A116"/>
    </sheetView>
  </sheetViews>
  <sheetFormatPr baseColWidth="10" defaultColWidth="8.5" defaultRowHeight="15"/>
  <cols>
    <col min="1" max="1" width="28.33203125" style="10" customWidth="1"/>
    <col min="2" max="2" width="10.5" style="10" hidden="1" customWidth="1"/>
    <col min="3" max="3" width="7" style="10" hidden="1" customWidth="1"/>
    <col min="4" max="4" width="10.5" style="10" hidden="1" customWidth="1"/>
    <col min="5" max="5" width="6.1640625" style="10" hidden="1" customWidth="1"/>
    <col min="6" max="6" width="10.1640625" style="10" hidden="1" customWidth="1"/>
    <col min="7" max="7" width="6.6640625" style="10" hidden="1" customWidth="1"/>
    <col min="8" max="8" width="10.5" style="10" hidden="1" customWidth="1"/>
    <col min="9" max="9" width="7" style="10" hidden="1" customWidth="1"/>
    <col min="10" max="10" width="10.1640625" style="10" hidden="1" customWidth="1"/>
    <col min="11" max="11" width="7" style="10" hidden="1" customWidth="1"/>
    <col min="12" max="12" width="10.1640625" style="10" hidden="1" customWidth="1"/>
    <col min="13" max="13" width="7" style="10" hidden="1" customWidth="1"/>
    <col min="14" max="14" width="9.5" style="10" hidden="1" customWidth="1"/>
    <col min="15" max="15" width="0.1640625" style="10" hidden="1" customWidth="1"/>
    <col min="16" max="16" width="5.33203125" style="10" hidden="1" customWidth="1"/>
    <col min="17" max="17" width="5.5" style="10" hidden="1" customWidth="1"/>
    <col min="18" max="18" width="5.6640625" style="10" hidden="1" customWidth="1"/>
    <col min="19" max="19" width="5.33203125" style="10" hidden="1" customWidth="1"/>
    <col min="20" max="20" width="6.5" style="10" hidden="1" customWidth="1"/>
    <col min="21" max="21" width="5" style="10" hidden="1" customWidth="1"/>
    <col min="22" max="22" width="6.5" style="10" hidden="1" customWidth="1"/>
    <col min="23" max="23" width="5" style="10" hidden="1" customWidth="1"/>
    <col min="24" max="24" width="5.6640625" style="10" hidden="1" customWidth="1"/>
    <col min="25" max="25" width="5" style="10" hidden="1" customWidth="1"/>
    <col min="26" max="26" width="1.6640625" style="10" customWidth="1"/>
    <col min="27" max="27" width="10.1640625" style="10" customWidth="1"/>
    <col min="28" max="28" width="10.33203125" style="10" customWidth="1"/>
    <col min="29" max="29" width="9.5" style="10" customWidth="1"/>
    <col min="30" max="30" width="6" style="10" customWidth="1"/>
    <col min="31" max="31" width="13.1640625" customWidth="1"/>
    <col min="32" max="32" width="19.83203125" customWidth="1"/>
  </cols>
  <sheetData>
    <row r="1" spans="1:32" ht="27" thickBo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 t="s">
        <v>155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67" t="s">
        <v>169</v>
      </c>
      <c r="AB1" s="68"/>
      <c r="AC1" s="68"/>
      <c r="AD1" s="69"/>
      <c r="AE1" s="69"/>
      <c r="AF1" s="49"/>
    </row>
    <row r="2" spans="1:32" ht="1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61" t="s">
        <v>205</v>
      </c>
      <c r="AB2" s="61"/>
      <c r="AC2" s="61"/>
      <c r="AD2" s="61"/>
      <c r="AE2" s="62"/>
      <c r="AF2" s="62"/>
    </row>
    <row r="3" spans="1:32" ht="2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60" t="s">
        <v>204</v>
      </c>
    </row>
    <row r="4" spans="1:32" ht="16" thickBot="1">
      <c r="A4" s="82" t="s">
        <v>224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32" ht="80">
      <c r="A5" s="6"/>
      <c r="B5" s="6" t="s">
        <v>102</v>
      </c>
      <c r="C5" s="6" t="s">
        <v>104</v>
      </c>
      <c r="D5" s="6" t="s">
        <v>101</v>
      </c>
      <c r="E5" s="6" t="s">
        <v>103</v>
      </c>
      <c r="F5" s="6" t="s">
        <v>105</v>
      </c>
      <c r="G5" s="6" t="s">
        <v>106</v>
      </c>
      <c r="H5" s="6" t="s">
        <v>107</v>
      </c>
      <c r="I5" s="6" t="s">
        <v>108</v>
      </c>
      <c r="J5" s="6" t="s">
        <v>109</v>
      </c>
      <c r="K5" s="6" t="s">
        <v>110</v>
      </c>
      <c r="L5" s="6" t="s">
        <v>111</v>
      </c>
      <c r="M5" s="6" t="s">
        <v>112</v>
      </c>
      <c r="N5" s="6" t="s">
        <v>113</v>
      </c>
      <c r="O5" s="6" t="s">
        <v>114</v>
      </c>
      <c r="P5" s="6" t="s">
        <v>115</v>
      </c>
      <c r="Q5" s="6" t="s">
        <v>116</v>
      </c>
      <c r="R5" s="6" t="s">
        <v>117</v>
      </c>
      <c r="S5" s="6" t="s">
        <v>118</v>
      </c>
      <c r="T5" s="6" t="s">
        <v>119</v>
      </c>
      <c r="U5" s="6" t="s">
        <v>120</v>
      </c>
      <c r="V5" s="6" t="s">
        <v>121</v>
      </c>
      <c r="W5" s="6" t="s">
        <v>122</v>
      </c>
      <c r="X5" s="6" t="s">
        <v>123</v>
      </c>
      <c r="Y5" s="6" t="s">
        <v>124</v>
      </c>
      <c r="Z5" s="6"/>
      <c r="AA5" s="5" t="s">
        <v>99</v>
      </c>
      <c r="AB5" s="5" t="s">
        <v>99</v>
      </c>
      <c r="AC5" s="6"/>
      <c r="AD5" s="50" t="s">
        <v>207</v>
      </c>
      <c r="AE5" s="46"/>
      <c r="AF5" s="71" t="s">
        <v>206</v>
      </c>
    </row>
    <row r="6" spans="1:32" ht="28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5" t="s">
        <v>100</v>
      </c>
      <c r="AB6" s="5" t="s">
        <v>137</v>
      </c>
      <c r="AC6" s="5" t="s">
        <v>70</v>
      </c>
      <c r="AD6" s="5" t="s">
        <v>71</v>
      </c>
      <c r="AE6" s="70" t="s">
        <v>156</v>
      </c>
      <c r="AF6" s="47"/>
    </row>
    <row r="7" spans="1:32">
      <c r="A7" s="48" t="s">
        <v>209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"/>
      <c r="AB7" s="2"/>
      <c r="AC7" s="2"/>
      <c r="AD7" s="2"/>
    </row>
    <row r="8" spans="1:32" ht="16" thickBot="1">
      <c r="A8" s="24" t="s">
        <v>72</v>
      </c>
      <c r="B8" s="2"/>
      <c r="C8" s="16"/>
      <c r="D8" s="2"/>
      <c r="E8" s="16"/>
      <c r="F8" s="2"/>
      <c r="G8" s="16"/>
      <c r="H8" s="2"/>
      <c r="I8" s="16"/>
      <c r="J8" s="2"/>
      <c r="K8" s="16"/>
      <c r="L8" s="15"/>
      <c r="M8" s="16"/>
      <c r="N8" s="15"/>
      <c r="O8" s="16"/>
      <c r="P8" s="15"/>
      <c r="Q8" s="16"/>
      <c r="R8" s="15"/>
      <c r="S8" s="16"/>
      <c r="T8" s="15"/>
      <c r="U8" s="16"/>
      <c r="V8" s="15"/>
      <c r="W8" s="16"/>
      <c r="X8" s="15"/>
      <c r="Y8" s="16"/>
      <c r="Z8" s="16"/>
      <c r="AA8" s="2">
        <f>X8+V8+T8+R8+P8+N8+L8+J8+H8+F8+D8+B8</f>
        <v>0</v>
      </c>
      <c r="AB8" s="2"/>
      <c r="AC8" s="3">
        <f t="shared" ref="AC8" si="0">(AA8)-(AB8)</f>
        <v>0</v>
      </c>
      <c r="AD8" s="4" t="str">
        <f t="shared" ref="AD8" si="1">IF(AB8=0,"",(AA8)/(AB8))</f>
        <v/>
      </c>
    </row>
    <row r="9" spans="1:32">
      <c r="A9" s="51" t="s">
        <v>73</v>
      </c>
      <c r="B9" s="25"/>
      <c r="C9" s="17">
        <f>B9/$AB9</f>
        <v>0</v>
      </c>
      <c r="D9" s="25"/>
      <c r="E9" s="17">
        <f>D9/$AB9</f>
        <v>0</v>
      </c>
      <c r="F9" s="25"/>
      <c r="G9" s="17">
        <f>F9/$AB9</f>
        <v>0</v>
      </c>
      <c r="H9" s="25"/>
      <c r="I9" s="17">
        <f>H9/$AB9</f>
        <v>0</v>
      </c>
      <c r="J9" s="25"/>
      <c r="K9" s="17">
        <f>J9/$AB9</f>
        <v>0</v>
      </c>
      <c r="L9" s="34"/>
      <c r="M9" s="17">
        <f>L9/$AB9</f>
        <v>0</v>
      </c>
      <c r="N9" s="45"/>
      <c r="O9" s="17">
        <f>N9/$AB9</f>
        <v>0</v>
      </c>
      <c r="P9" s="11"/>
      <c r="Q9" s="17">
        <f>P9/$AB9</f>
        <v>0</v>
      </c>
      <c r="R9" s="11"/>
      <c r="S9" s="17">
        <f>R9/$AB9</f>
        <v>0</v>
      </c>
      <c r="T9" s="11"/>
      <c r="U9" s="17">
        <f>T9/$AB9</f>
        <v>0</v>
      </c>
      <c r="V9" s="11"/>
      <c r="W9" s="17">
        <f>V9/$AB9</f>
        <v>0</v>
      </c>
      <c r="X9" s="11"/>
      <c r="Y9" s="18">
        <f>X9/$AB9</f>
        <v>0</v>
      </c>
      <c r="Z9" s="13"/>
      <c r="AA9" s="40">
        <f t="shared" ref="AA9:AA76" si="2">X9+V9+T9+R9+P9+N9+L9+J9+H9+F9+D9+B9</f>
        <v>0</v>
      </c>
      <c r="AB9" s="37">
        <v>1000</v>
      </c>
      <c r="AC9" s="28">
        <f t="shared" ref="AC9:AC41" si="3">(AA9)-(AB9)</f>
        <v>-1000</v>
      </c>
      <c r="AD9" s="31">
        <f t="shared" ref="AD9:AD42" si="4">IF(AB9=0,"",(AA9)/(AB9))</f>
        <v>0</v>
      </c>
      <c r="AE9" s="78">
        <v>0</v>
      </c>
      <c r="AF9" s="72" t="s">
        <v>208</v>
      </c>
    </row>
    <row r="10" spans="1:32">
      <c r="A10" s="24" t="s">
        <v>74</v>
      </c>
      <c r="B10" s="26">
        <f>(B8)+(B9)</f>
        <v>0</v>
      </c>
      <c r="C10" s="14">
        <f>B10/$AB10</f>
        <v>0</v>
      </c>
      <c r="D10" s="26">
        <f>(D8)+(D9)</f>
        <v>0</v>
      </c>
      <c r="E10" s="14">
        <f>D10/$AB10</f>
        <v>0</v>
      </c>
      <c r="F10" s="26">
        <f>(F8)+(F9)</f>
        <v>0</v>
      </c>
      <c r="G10" s="14">
        <f>F10/$AB10</f>
        <v>0</v>
      </c>
      <c r="H10" s="26">
        <f>(H8)+(H9)</f>
        <v>0</v>
      </c>
      <c r="I10" s="14">
        <f>H10/$AB10</f>
        <v>0</v>
      </c>
      <c r="J10" s="26">
        <f>(J8)+(J9)</f>
        <v>0</v>
      </c>
      <c r="K10" s="14">
        <f>J10/$AB10</f>
        <v>0</v>
      </c>
      <c r="L10" s="35">
        <f>(L8)+(L9)</f>
        <v>0</v>
      </c>
      <c r="M10" s="14">
        <f>L10/$AB10</f>
        <v>0</v>
      </c>
      <c r="N10" s="45">
        <v>0</v>
      </c>
      <c r="O10" s="14">
        <f>N10/$AB10</f>
        <v>0</v>
      </c>
      <c r="P10" s="11"/>
      <c r="Q10" s="14">
        <f>P10/$AB10</f>
        <v>0</v>
      </c>
      <c r="R10" s="11"/>
      <c r="S10" s="14">
        <f>R10/$AB10</f>
        <v>0</v>
      </c>
      <c r="T10" s="11"/>
      <c r="U10" s="14">
        <f>T10/$AB10</f>
        <v>0</v>
      </c>
      <c r="V10" s="11"/>
      <c r="W10" s="14">
        <f>V10/$AB10</f>
        <v>0</v>
      </c>
      <c r="X10" s="11"/>
      <c r="Y10" s="19">
        <f>X10/$AB10</f>
        <v>0</v>
      </c>
      <c r="Z10" s="13"/>
      <c r="AA10" s="41">
        <f t="shared" si="2"/>
        <v>0</v>
      </c>
      <c r="AB10" s="38">
        <f>(AB8)+(AB9)</f>
        <v>1000</v>
      </c>
      <c r="AC10" s="29">
        <f t="shared" si="3"/>
        <v>-1000</v>
      </c>
      <c r="AD10" s="32">
        <f t="shared" si="4"/>
        <v>0</v>
      </c>
      <c r="AE10" s="79">
        <f>(AE8)+(AE9)</f>
        <v>0</v>
      </c>
      <c r="AF10" s="72"/>
    </row>
    <row r="11" spans="1:32">
      <c r="A11" s="24" t="s">
        <v>75</v>
      </c>
      <c r="B11" s="25"/>
      <c r="C11" s="14"/>
      <c r="D11" s="25"/>
      <c r="E11" s="14"/>
      <c r="F11" s="25"/>
      <c r="G11" s="14"/>
      <c r="H11" s="25"/>
      <c r="I11" s="14"/>
      <c r="J11" s="25"/>
      <c r="K11" s="14"/>
      <c r="L11" s="34"/>
      <c r="M11" s="14"/>
      <c r="N11" s="45"/>
      <c r="O11" s="14"/>
      <c r="P11" s="11"/>
      <c r="Q11" s="14"/>
      <c r="R11" s="11"/>
      <c r="S11" s="14"/>
      <c r="T11" s="11"/>
      <c r="U11" s="14"/>
      <c r="V11" s="11"/>
      <c r="W11" s="14"/>
      <c r="X11" s="11"/>
      <c r="Y11" s="19"/>
      <c r="Z11" s="13"/>
      <c r="AA11" s="42">
        <f t="shared" si="2"/>
        <v>0</v>
      </c>
      <c r="AB11" s="39"/>
      <c r="AC11" s="28">
        <f t="shared" si="3"/>
        <v>0</v>
      </c>
      <c r="AD11" s="31" t="str">
        <f t="shared" si="4"/>
        <v/>
      </c>
      <c r="AE11" s="80"/>
      <c r="AF11" s="72"/>
    </row>
    <row r="12" spans="1:32">
      <c r="A12" s="51" t="s">
        <v>76</v>
      </c>
      <c r="B12" s="25"/>
      <c r="C12" s="14">
        <f t="shared" ref="C12:C21" si="5">B12/$AB12</f>
        <v>0</v>
      </c>
      <c r="D12" s="27">
        <f>95332.89</f>
        <v>95332.89</v>
      </c>
      <c r="E12" s="14">
        <f t="shared" ref="E12:E21" si="6">D12/$AB12</f>
        <v>0.29978896226415092</v>
      </c>
      <c r="F12" s="25"/>
      <c r="G12" s="14">
        <f t="shared" ref="G12:G21" si="7">F12/$AB12</f>
        <v>0</v>
      </c>
      <c r="H12" s="27">
        <f>109875.16</f>
        <v>109875.16</v>
      </c>
      <c r="I12" s="14">
        <f t="shared" ref="I12:I21" si="8">H12/$AB12</f>
        <v>0.3455193710691824</v>
      </c>
      <c r="J12" s="25"/>
      <c r="K12" s="14">
        <f t="shared" ref="K12:K21" si="9">J12/$AB12</f>
        <v>0</v>
      </c>
      <c r="L12" s="34"/>
      <c r="M12" s="14">
        <f t="shared" ref="M12:M21" si="10">L12/$AB12</f>
        <v>0</v>
      </c>
      <c r="N12" s="45">
        <v>90122.54</v>
      </c>
      <c r="O12" s="14">
        <f t="shared" ref="O12:O21" si="11">N12/$AB12</f>
        <v>0.28340421383647796</v>
      </c>
      <c r="P12" s="11"/>
      <c r="Q12" s="14">
        <f t="shared" ref="Q12:Q21" si="12">P12/$AB12</f>
        <v>0</v>
      </c>
      <c r="R12" s="11"/>
      <c r="S12" s="14">
        <f t="shared" ref="S12:S21" si="13">R12/$AB12</f>
        <v>0</v>
      </c>
      <c r="T12" s="11"/>
      <c r="U12" s="14">
        <f t="shared" ref="U12:U21" si="14">T12/$AB12</f>
        <v>0</v>
      </c>
      <c r="V12" s="11"/>
      <c r="W12" s="14">
        <f t="shared" ref="W12:W21" si="15">V12/$AB12</f>
        <v>0</v>
      </c>
      <c r="X12" s="11"/>
      <c r="Y12" s="19">
        <f t="shared" ref="Y12:Y21" si="16">X12/$AB12</f>
        <v>0</v>
      </c>
      <c r="Z12" s="13"/>
      <c r="AA12" s="43">
        <v>380475</v>
      </c>
      <c r="AB12" s="37">
        <v>318000</v>
      </c>
      <c r="AC12" s="28">
        <f t="shared" si="3"/>
        <v>62475</v>
      </c>
      <c r="AD12" s="31">
        <f t="shared" si="4"/>
        <v>1.1964622641509435</v>
      </c>
      <c r="AE12" s="81">
        <v>380000</v>
      </c>
      <c r="AF12" s="73"/>
    </row>
    <row r="13" spans="1:32">
      <c r="A13" s="51" t="s">
        <v>77</v>
      </c>
      <c r="B13" s="27">
        <f>1061</f>
        <v>1061</v>
      </c>
      <c r="C13" s="14">
        <f t="shared" si="5"/>
        <v>6.6105919003115271E-2</v>
      </c>
      <c r="D13" s="27">
        <f>1035</f>
        <v>1035</v>
      </c>
      <c r="E13" s="14">
        <f t="shared" si="6"/>
        <v>6.4485981308411211E-2</v>
      </c>
      <c r="F13" s="27">
        <f>569</f>
        <v>569</v>
      </c>
      <c r="G13" s="14">
        <f t="shared" si="7"/>
        <v>3.5451713395638629E-2</v>
      </c>
      <c r="H13" s="27">
        <f>1625</f>
        <v>1625</v>
      </c>
      <c r="I13" s="14">
        <f t="shared" si="8"/>
        <v>0.10124610591900311</v>
      </c>
      <c r="J13" s="27">
        <f>2760</f>
        <v>2760</v>
      </c>
      <c r="K13" s="14">
        <f t="shared" si="9"/>
        <v>0.17196261682242991</v>
      </c>
      <c r="L13" s="36">
        <f>3680</f>
        <v>3680</v>
      </c>
      <c r="M13" s="14">
        <f t="shared" si="10"/>
        <v>0.2292834890965732</v>
      </c>
      <c r="N13" s="45">
        <v>2645</v>
      </c>
      <c r="O13" s="14">
        <f t="shared" si="11"/>
        <v>0.16479750778816199</v>
      </c>
      <c r="P13" s="11"/>
      <c r="Q13" s="14">
        <f t="shared" si="12"/>
        <v>0</v>
      </c>
      <c r="R13" s="11"/>
      <c r="S13" s="14">
        <f t="shared" si="13"/>
        <v>0</v>
      </c>
      <c r="T13" s="11"/>
      <c r="U13" s="14">
        <f t="shared" si="14"/>
        <v>0</v>
      </c>
      <c r="V13" s="11"/>
      <c r="W13" s="14">
        <f t="shared" si="15"/>
        <v>0</v>
      </c>
      <c r="X13" s="11"/>
      <c r="Y13" s="19">
        <f t="shared" si="16"/>
        <v>0</v>
      </c>
      <c r="Z13" s="13"/>
      <c r="AA13" s="43">
        <v>21730</v>
      </c>
      <c r="AB13" s="37">
        <v>16050</v>
      </c>
      <c r="AC13" s="28">
        <f t="shared" si="3"/>
        <v>5680</v>
      </c>
      <c r="AD13" s="31">
        <f t="shared" si="4"/>
        <v>1.3538940809968847</v>
      </c>
      <c r="AE13" s="81">
        <v>22000</v>
      </c>
      <c r="AF13" s="73"/>
    </row>
    <row r="14" spans="1:32">
      <c r="A14" s="24" t="s">
        <v>78</v>
      </c>
      <c r="B14" s="25"/>
      <c r="C14" s="14">
        <f t="shared" si="5"/>
        <v>0</v>
      </c>
      <c r="D14" s="25"/>
      <c r="E14" s="14">
        <f t="shared" si="6"/>
        <v>0</v>
      </c>
      <c r="F14" s="25"/>
      <c r="G14" s="14">
        <f t="shared" si="7"/>
        <v>0</v>
      </c>
      <c r="H14" s="25"/>
      <c r="I14" s="14">
        <f t="shared" si="8"/>
        <v>0</v>
      </c>
      <c r="J14" s="25"/>
      <c r="K14" s="14">
        <f t="shared" si="9"/>
        <v>0</v>
      </c>
      <c r="L14" s="34"/>
      <c r="M14" s="14">
        <f t="shared" si="10"/>
        <v>0</v>
      </c>
      <c r="N14" s="45"/>
      <c r="O14" s="14">
        <f t="shared" si="11"/>
        <v>0</v>
      </c>
      <c r="P14" s="11"/>
      <c r="Q14" s="14">
        <f t="shared" si="12"/>
        <v>0</v>
      </c>
      <c r="R14" s="11"/>
      <c r="S14" s="14">
        <f t="shared" si="13"/>
        <v>0</v>
      </c>
      <c r="T14" s="11"/>
      <c r="U14" s="14">
        <f t="shared" si="14"/>
        <v>0</v>
      </c>
      <c r="V14" s="11"/>
      <c r="W14" s="14">
        <f t="shared" si="15"/>
        <v>0</v>
      </c>
      <c r="X14" s="11"/>
      <c r="Y14" s="19">
        <f t="shared" si="16"/>
        <v>0</v>
      </c>
      <c r="Z14" s="13"/>
      <c r="AA14" s="85">
        <v>225005</v>
      </c>
      <c r="AB14" s="37">
        <v>120000</v>
      </c>
      <c r="AC14" s="28">
        <f t="shared" si="3"/>
        <v>105005</v>
      </c>
      <c r="AD14" s="31">
        <f t="shared" si="4"/>
        <v>1.8750416666666667</v>
      </c>
      <c r="AE14" s="78">
        <v>120000</v>
      </c>
      <c r="AF14" s="74" t="s">
        <v>223</v>
      </c>
    </row>
    <row r="15" spans="1:32" s="7" customFormat="1">
      <c r="A15" s="84" t="s">
        <v>227</v>
      </c>
      <c r="B15" s="25"/>
      <c r="C15" s="14"/>
      <c r="D15" s="25"/>
      <c r="E15" s="14"/>
      <c r="F15" s="25"/>
      <c r="G15" s="14"/>
      <c r="H15" s="25"/>
      <c r="I15" s="14"/>
      <c r="J15" s="25"/>
      <c r="K15" s="14"/>
      <c r="L15" s="34"/>
      <c r="M15" s="14"/>
      <c r="N15" s="45"/>
      <c r="O15" s="14"/>
      <c r="P15" s="11"/>
      <c r="Q15" s="14"/>
      <c r="R15" s="11"/>
      <c r="S15" s="14"/>
      <c r="T15" s="11"/>
      <c r="U15" s="14"/>
      <c r="V15" s="11"/>
      <c r="W15" s="14"/>
      <c r="X15" s="11"/>
      <c r="Y15" s="19"/>
      <c r="Z15" s="13"/>
      <c r="AA15" s="43"/>
      <c r="AB15" s="37"/>
      <c r="AC15" s="28"/>
      <c r="AD15" s="31"/>
      <c r="AE15" s="78"/>
      <c r="AF15" s="74"/>
    </row>
    <row r="16" spans="1:32">
      <c r="A16" s="51" t="s">
        <v>79</v>
      </c>
      <c r="B16" s="27">
        <f>205408.31</f>
        <v>205408.31</v>
      </c>
      <c r="C16" s="14">
        <f t="shared" si="5"/>
        <v>1.2164536646138411</v>
      </c>
      <c r="D16" s="25"/>
      <c r="E16" s="14">
        <f t="shared" si="6"/>
        <v>0</v>
      </c>
      <c r="F16" s="25"/>
      <c r="G16" s="14">
        <f t="shared" si="7"/>
        <v>0</v>
      </c>
      <c r="H16" s="25"/>
      <c r="I16" s="14">
        <f t="shared" si="8"/>
        <v>0</v>
      </c>
      <c r="J16" s="25"/>
      <c r="K16" s="14">
        <f t="shared" si="9"/>
        <v>0</v>
      </c>
      <c r="L16" s="34"/>
      <c r="M16" s="14">
        <f t="shared" si="10"/>
        <v>0</v>
      </c>
      <c r="N16" s="45"/>
      <c r="O16" s="14">
        <f t="shared" si="11"/>
        <v>0</v>
      </c>
      <c r="P16" s="11"/>
      <c r="Q16" s="14">
        <f t="shared" si="12"/>
        <v>0</v>
      </c>
      <c r="R16" s="11"/>
      <c r="S16" s="14">
        <f t="shared" si="13"/>
        <v>0</v>
      </c>
      <c r="T16" s="11"/>
      <c r="U16" s="14">
        <f t="shared" si="14"/>
        <v>0</v>
      </c>
      <c r="V16" s="11"/>
      <c r="W16" s="14">
        <f t="shared" si="15"/>
        <v>0</v>
      </c>
      <c r="X16" s="11"/>
      <c r="Y16" s="19">
        <f t="shared" si="16"/>
        <v>0</v>
      </c>
      <c r="Z16" s="13"/>
      <c r="AA16" s="43">
        <v>205408</v>
      </c>
      <c r="AB16" s="37">
        <v>168858.31</v>
      </c>
      <c r="AC16" s="28">
        <f t="shared" si="3"/>
        <v>36549.69</v>
      </c>
      <c r="AD16" s="31">
        <f t="shared" si="4"/>
        <v>1.216451828755126</v>
      </c>
      <c r="AE16" s="81">
        <v>0</v>
      </c>
      <c r="AF16" s="75" t="s">
        <v>190</v>
      </c>
    </row>
    <row r="17" spans="1:32" s="7" customFormat="1">
      <c r="A17" s="51"/>
      <c r="B17" s="27"/>
      <c r="C17" s="14"/>
      <c r="D17" s="25"/>
      <c r="E17" s="14"/>
      <c r="F17" s="25"/>
      <c r="G17" s="14"/>
      <c r="H17" s="25"/>
      <c r="I17" s="14"/>
      <c r="J17" s="25"/>
      <c r="K17" s="14"/>
      <c r="L17" s="34"/>
      <c r="M17" s="14"/>
      <c r="N17" s="45"/>
      <c r="O17" s="14"/>
      <c r="P17" s="11"/>
      <c r="Q17" s="14"/>
      <c r="R17" s="11"/>
      <c r="S17" s="14"/>
      <c r="T17" s="11"/>
      <c r="U17" s="14"/>
      <c r="V17" s="11"/>
      <c r="W17" s="14"/>
      <c r="X17" s="11"/>
      <c r="Y17" s="19"/>
      <c r="Z17" s="13"/>
      <c r="AA17" s="43"/>
      <c r="AB17" s="37"/>
      <c r="AC17" s="28"/>
      <c r="AD17" s="31"/>
      <c r="AE17" s="81"/>
      <c r="AF17" s="75" t="s">
        <v>189</v>
      </c>
    </row>
    <row r="18" spans="1:32" s="7" customFormat="1">
      <c r="A18" s="51"/>
      <c r="B18" s="27"/>
      <c r="C18" s="14"/>
      <c r="D18" s="25"/>
      <c r="E18" s="14"/>
      <c r="F18" s="25"/>
      <c r="G18" s="14"/>
      <c r="H18" s="25"/>
      <c r="I18" s="14"/>
      <c r="J18" s="25"/>
      <c r="K18" s="14"/>
      <c r="L18" s="34"/>
      <c r="M18" s="14"/>
      <c r="N18" s="45"/>
      <c r="O18" s="14"/>
      <c r="P18" s="11"/>
      <c r="Q18" s="14"/>
      <c r="R18" s="11"/>
      <c r="S18" s="14"/>
      <c r="T18" s="11"/>
      <c r="U18" s="14"/>
      <c r="V18" s="11"/>
      <c r="W18" s="14"/>
      <c r="X18" s="11"/>
      <c r="Y18" s="19"/>
      <c r="Z18" s="13"/>
      <c r="AA18" s="43"/>
      <c r="AB18" s="37"/>
      <c r="AC18" s="28"/>
      <c r="AD18" s="31"/>
      <c r="AE18" s="81"/>
      <c r="AF18" s="76">
        <v>120000</v>
      </c>
    </row>
    <row r="19" spans="1:32">
      <c r="A19" s="51" t="s">
        <v>80</v>
      </c>
      <c r="B19" s="27">
        <f>2074.62</f>
        <v>2074.62</v>
      </c>
      <c r="C19" s="14">
        <f t="shared" si="5"/>
        <v>0.82984799999999992</v>
      </c>
      <c r="D19" s="25"/>
      <c r="E19" s="14">
        <f t="shared" si="6"/>
        <v>0</v>
      </c>
      <c r="F19" s="25"/>
      <c r="G19" s="14">
        <f t="shared" si="7"/>
        <v>0</v>
      </c>
      <c r="H19" s="25"/>
      <c r="I19" s="14">
        <f t="shared" si="8"/>
        <v>0</v>
      </c>
      <c r="J19" s="25"/>
      <c r="K19" s="14">
        <f t="shared" si="9"/>
        <v>0</v>
      </c>
      <c r="L19" s="34"/>
      <c r="M19" s="14">
        <f t="shared" si="10"/>
        <v>0</v>
      </c>
      <c r="N19" s="45"/>
      <c r="O19" s="14">
        <f t="shared" si="11"/>
        <v>0</v>
      </c>
      <c r="P19" s="11"/>
      <c r="Q19" s="14">
        <f t="shared" si="12"/>
        <v>0</v>
      </c>
      <c r="R19" s="11"/>
      <c r="S19" s="14">
        <f t="shared" si="13"/>
        <v>0</v>
      </c>
      <c r="T19" s="11"/>
      <c r="U19" s="14">
        <f t="shared" si="14"/>
        <v>0</v>
      </c>
      <c r="V19" s="11"/>
      <c r="W19" s="14">
        <f t="shared" si="15"/>
        <v>0</v>
      </c>
      <c r="X19" s="11"/>
      <c r="Y19" s="19">
        <f t="shared" si="16"/>
        <v>0</v>
      </c>
      <c r="Z19" s="13"/>
      <c r="AA19" s="43">
        <v>10084</v>
      </c>
      <c r="AB19" s="37">
        <v>2500</v>
      </c>
      <c r="AC19" s="28">
        <f t="shared" si="3"/>
        <v>7584</v>
      </c>
      <c r="AD19" s="31">
        <f t="shared" si="4"/>
        <v>4.0335999999999999</v>
      </c>
      <c r="AE19" s="78">
        <v>10000</v>
      </c>
      <c r="AF19" s="72" t="s">
        <v>172</v>
      </c>
    </row>
    <row r="20" spans="1:32" ht="29" customHeight="1">
      <c r="A20" s="83" t="s">
        <v>81</v>
      </c>
      <c r="B20" s="25"/>
      <c r="C20" s="14">
        <f t="shared" si="5"/>
        <v>0</v>
      </c>
      <c r="D20" s="25"/>
      <c r="E20" s="14">
        <f t="shared" si="6"/>
        <v>0</v>
      </c>
      <c r="F20" s="25"/>
      <c r="G20" s="14">
        <f t="shared" si="7"/>
        <v>0</v>
      </c>
      <c r="H20" s="25"/>
      <c r="I20" s="14">
        <f t="shared" si="8"/>
        <v>0</v>
      </c>
      <c r="J20" s="25"/>
      <c r="K20" s="14">
        <f t="shared" si="9"/>
        <v>0</v>
      </c>
      <c r="L20" s="34"/>
      <c r="M20" s="14">
        <f t="shared" si="10"/>
        <v>0</v>
      </c>
      <c r="N20" s="45"/>
      <c r="O20" s="14">
        <f t="shared" si="11"/>
        <v>0</v>
      </c>
      <c r="P20" s="11"/>
      <c r="Q20" s="14">
        <f t="shared" si="12"/>
        <v>0</v>
      </c>
      <c r="R20" s="11"/>
      <c r="S20" s="14">
        <f t="shared" si="13"/>
        <v>0</v>
      </c>
      <c r="T20" s="11"/>
      <c r="U20" s="14">
        <f t="shared" si="14"/>
        <v>0</v>
      </c>
      <c r="V20" s="11"/>
      <c r="W20" s="14">
        <f t="shared" si="15"/>
        <v>0</v>
      </c>
      <c r="X20" s="11"/>
      <c r="Y20" s="19">
        <f t="shared" si="16"/>
        <v>0</v>
      </c>
      <c r="Z20" s="13"/>
      <c r="AA20" s="43">
        <v>0</v>
      </c>
      <c r="AB20" s="37">
        <v>28100</v>
      </c>
      <c r="AC20" s="28">
        <f t="shared" si="3"/>
        <v>-28100</v>
      </c>
      <c r="AD20" s="31">
        <f t="shared" si="4"/>
        <v>0</v>
      </c>
      <c r="AE20" s="78">
        <v>28100</v>
      </c>
      <c r="AF20" s="72" t="s">
        <v>173</v>
      </c>
    </row>
    <row r="21" spans="1:32">
      <c r="A21" s="24" t="s">
        <v>82</v>
      </c>
      <c r="B21" s="26">
        <f>((((((B11)+(B12))+(B13))+(B14))+(B16))+(B19))+(B20)</f>
        <v>208543.93</v>
      </c>
      <c r="C21" s="14">
        <f t="shared" si="5"/>
        <v>0.31911442717537897</v>
      </c>
      <c r="D21" s="26">
        <f>((((((D11)+(D12))+(D13))+(D14))+(D16))+(D19))+(D20)</f>
        <v>96367.89</v>
      </c>
      <c r="E21" s="14">
        <f t="shared" si="6"/>
        <v>0.14746237886401167</v>
      </c>
      <c r="F21" s="26">
        <f>((((((F11)+(F12))+(F13))+(F14))+(F16))+(F19))+(F20)</f>
        <v>569</v>
      </c>
      <c r="G21" s="14">
        <f t="shared" si="7"/>
        <v>8.7068517919840986E-4</v>
      </c>
      <c r="H21" s="26">
        <f>((((((H11)+(H12))+(H13))+(H14))+(H16))+(H19))+(H20)</f>
        <v>111500.16</v>
      </c>
      <c r="I21" s="14">
        <f t="shared" si="8"/>
        <v>0.17061781509710258</v>
      </c>
      <c r="J21" s="26">
        <f>((((((J11)+(J12))+(J13))+(J14))+(J16))+(J19))+(J20)</f>
        <v>2760</v>
      </c>
      <c r="K21" s="14">
        <f t="shared" si="9"/>
        <v>4.223358689960652E-3</v>
      </c>
      <c r="L21" s="35">
        <f>((((((L11)+(L12))+(L13))+(L14))+(L16))+(L19))+(L20)</f>
        <v>3680</v>
      </c>
      <c r="M21" s="14">
        <f t="shared" si="10"/>
        <v>5.6311449199475359E-3</v>
      </c>
      <c r="N21" s="45">
        <v>92767.54</v>
      </c>
      <c r="O21" s="14">
        <f t="shared" si="11"/>
        <v>0.14195311456712767</v>
      </c>
      <c r="P21" s="11"/>
      <c r="Q21" s="14">
        <f t="shared" si="12"/>
        <v>0</v>
      </c>
      <c r="R21" s="11"/>
      <c r="S21" s="14">
        <f t="shared" si="13"/>
        <v>0</v>
      </c>
      <c r="T21" s="11"/>
      <c r="U21" s="14">
        <f t="shared" si="14"/>
        <v>0</v>
      </c>
      <c r="V21" s="11"/>
      <c r="W21" s="14">
        <f t="shared" si="15"/>
        <v>0</v>
      </c>
      <c r="X21" s="11"/>
      <c r="Y21" s="19">
        <f t="shared" si="16"/>
        <v>0</v>
      </c>
      <c r="Z21" s="13"/>
      <c r="AA21" s="41">
        <v>842703</v>
      </c>
      <c r="AB21" s="38">
        <f>((((((AB11)+(AB12))+(AB13))+(AB14))+(AB16))+(AB19))+(AB20)</f>
        <v>653508.31000000006</v>
      </c>
      <c r="AC21" s="29">
        <f t="shared" si="3"/>
        <v>189194.68999999994</v>
      </c>
      <c r="AD21" s="32">
        <f t="shared" si="4"/>
        <v>1.2895061732267794</v>
      </c>
      <c r="AE21" s="79">
        <f>((((((AE11)+(AE12))+(AE13))+(AE14))+(AE16))+(AE19))+(AE20)</f>
        <v>560100</v>
      </c>
      <c r="AF21" s="72"/>
    </row>
    <row r="22" spans="1:32">
      <c r="A22" s="24" t="s">
        <v>83</v>
      </c>
      <c r="B22" s="25"/>
      <c r="C22" s="14"/>
      <c r="D22" s="25"/>
      <c r="E22" s="14"/>
      <c r="F22" s="25"/>
      <c r="G22" s="14"/>
      <c r="H22" s="25"/>
      <c r="I22" s="14"/>
      <c r="J22" s="25"/>
      <c r="K22" s="14"/>
      <c r="L22" s="34"/>
      <c r="M22" s="14"/>
      <c r="N22" s="45"/>
      <c r="O22" s="14"/>
      <c r="P22" s="11"/>
      <c r="Q22" s="14"/>
      <c r="R22" s="11"/>
      <c r="S22" s="14"/>
      <c r="T22" s="11"/>
      <c r="U22" s="14"/>
      <c r="V22" s="11"/>
      <c r="W22" s="14"/>
      <c r="X22" s="11"/>
      <c r="Y22" s="19"/>
      <c r="Z22" s="13"/>
      <c r="AA22" s="42">
        <f t="shared" si="2"/>
        <v>0</v>
      </c>
      <c r="AB22" s="39"/>
      <c r="AC22" s="28">
        <f t="shared" si="3"/>
        <v>0</v>
      </c>
      <c r="AD22" s="31" t="str">
        <f t="shared" si="4"/>
        <v/>
      </c>
      <c r="AE22" s="80"/>
      <c r="AF22" s="72"/>
    </row>
    <row r="23" spans="1:32">
      <c r="A23" s="51" t="s">
        <v>84</v>
      </c>
      <c r="B23" s="25"/>
      <c r="C23" s="14">
        <f>B23/$AB23</f>
        <v>0</v>
      </c>
      <c r="D23" s="25"/>
      <c r="E23" s="14">
        <f>D23/$AB23</f>
        <v>0</v>
      </c>
      <c r="F23" s="25"/>
      <c r="G23" s="14">
        <f>F23/$AB23</f>
        <v>0</v>
      </c>
      <c r="H23" s="25"/>
      <c r="I23" s="14">
        <f>H23/$AB23</f>
        <v>0</v>
      </c>
      <c r="J23" s="25"/>
      <c r="K23" s="14">
        <f>J23/$AB23</f>
        <v>0</v>
      </c>
      <c r="L23" s="34"/>
      <c r="M23" s="14">
        <f>L23/$AB23</f>
        <v>0</v>
      </c>
      <c r="N23" s="45"/>
      <c r="O23" s="14">
        <f>N23/$AB23</f>
        <v>0</v>
      </c>
      <c r="P23" s="11"/>
      <c r="Q23" s="14">
        <f>P23/$AB23</f>
        <v>0</v>
      </c>
      <c r="R23" s="11"/>
      <c r="S23" s="14">
        <f>R23/$AB23</f>
        <v>0</v>
      </c>
      <c r="T23" s="11"/>
      <c r="U23" s="14">
        <f>T23/$AB23</f>
        <v>0</v>
      </c>
      <c r="V23" s="11"/>
      <c r="W23" s="14">
        <f>V23/$AB23</f>
        <v>0</v>
      </c>
      <c r="X23" s="11"/>
      <c r="Y23" s="19">
        <f>X23/$AB23</f>
        <v>0</v>
      </c>
      <c r="Z23" s="13"/>
      <c r="AA23" s="43">
        <v>380</v>
      </c>
      <c r="AB23" s="37">
        <v>1500</v>
      </c>
      <c r="AC23" s="28">
        <f t="shared" si="3"/>
        <v>-1120</v>
      </c>
      <c r="AD23" s="31">
        <f t="shared" si="4"/>
        <v>0.25333333333333335</v>
      </c>
      <c r="AE23" s="78">
        <v>500</v>
      </c>
      <c r="AF23" s="72"/>
    </row>
    <row r="24" spans="1:32">
      <c r="A24" s="24" t="s">
        <v>85</v>
      </c>
      <c r="B24" s="26">
        <f>(B22)+(B23)</f>
        <v>0</v>
      </c>
      <c r="C24" s="14">
        <f>B24/$AB24</f>
        <v>0</v>
      </c>
      <c r="D24" s="26">
        <f>(D22)+(D23)</f>
        <v>0</v>
      </c>
      <c r="E24" s="14">
        <f>D24/$AB24</f>
        <v>0</v>
      </c>
      <c r="F24" s="26">
        <f>(F22)+(F23)</f>
        <v>0</v>
      </c>
      <c r="G24" s="14">
        <f>F24/$AB24</f>
        <v>0</v>
      </c>
      <c r="H24" s="26">
        <f>(H22)+(H23)</f>
        <v>0</v>
      </c>
      <c r="I24" s="14">
        <f>H24/$AB24</f>
        <v>0</v>
      </c>
      <c r="J24" s="26">
        <f>(J22)+(J23)</f>
        <v>0</v>
      </c>
      <c r="K24" s="14">
        <f>J24/$AB24</f>
        <v>0</v>
      </c>
      <c r="L24" s="35">
        <f>(L22)+(L23)</f>
        <v>0</v>
      </c>
      <c r="M24" s="14">
        <f>L24/$AB24</f>
        <v>0</v>
      </c>
      <c r="N24" s="45">
        <v>0</v>
      </c>
      <c r="O24" s="14">
        <f>N24/$AB24</f>
        <v>0</v>
      </c>
      <c r="P24" s="11"/>
      <c r="Q24" s="14">
        <f>P24/$AB24</f>
        <v>0</v>
      </c>
      <c r="R24" s="11"/>
      <c r="S24" s="14">
        <f>R24/$AB24</f>
        <v>0</v>
      </c>
      <c r="T24" s="11"/>
      <c r="U24" s="14">
        <f>T24/$AB24</f>
        <v>0</v>
      </c>
      <c r="V24" s="11"/>
      <c r="W24" s="14">
        <f>V24/$AB24</f>
        <v>0</v>
      </c>
      <c r="X24" s="11"/>
      <c r="Y24" s="19">
        <f>X24/$AB24</f>
        <v>0</v>
      </c>
      <c r="Z24" s="13"/>
      <c r="AA24" s="41">
        <v>380</v>
      </c>
      <c r="AB24" s="38">
        <f>(AB22)+(AB23)</f>
        <v>1500</v>
      </c>
      <c r="AC24" s="29">
        <f t="shared" si="3"/>
        <v>-1120</v>
      </c>
      <c r="AD24" s="32">
        <f t="shared" si="4"/>
        <v>0.25333333333333335</v>
      </c>
      <c r="AE24" s="79">
        <f>(AE22)+(AE23)</f>
        <v>500</v>
      </c>
      <c r="AF24" s="72"/>
    </row>
    <row r="25" spans="1:32">
      <c r="A25" s="48" t="s">
        <v>86</v>
      </c>
      <c r="B25" s="25"/>
      <c r="C25" s="14">
        <f>B25/$AB25</f>
        <v>0</v>
      </c>
      <c r="D25" s="25"/>
      <c r="E25" s="14">
        <f>D25/$AB25</f>
        <v>0</v>
      </c>
      <c r="F25" s="25"/>
      <c r="G25" s="14">
        <f>F25/$AB25</f>
        <v>0</v>
      </c>
      <c r="H25" s="25"/>
      <c r="I25" s="14">
        <f>H25/$AB25</f>
        <v>0</v>
      </c>
      <c r="J25" s="25"/>
      <c r="K25" s="14">
        <f>J25/$AB25</f>
        <v>0</v>
      </c>
      <c r="L25" s="34"/>
      <c r="M25" s="14">
        <f>L25/$AB25</f>
        <v>0</v>
      </c>
      <c r="N25" s="45"/>
      <c r="O25" s="14">
        <f>N25/$AB25</f>
        <v>0</v>
      </c>
      <c r="P25" s="11"/>
      <c r="Q25" s="14">
        <f>P25/$AB25</f>
        <v>0</v>
      </c>
      <c r="R25" s="11"/>
      <c r="S25" s="14">
        <f>R25/$AB25</f>
        <v>0</v>
      </c>
      <c r="T25" s="11"/>
      <c r="U25" s="14">
        <f>T25/$AB25</f>
        <v>0</v>
      </c>
      <c r="V25" s="11"/>
      <c r="W25" s="14">
        <f>V25/$AB25</f>
        <v>0</v>
      </c>
      <c r="X25" s="11"/>
      <c r="Y25" s="19">
        <f>X25/$AB25</f>
        <v>0</v>
      </c>
      <c r="Z25" s="13"/>
      <c r="AA25" s="43">
        <f t="shared" si="2"/>
        <v>0</v>
      </c>
      <c r="AB25" s="37">
        <v>1000</v>
      </c>
      <c r="AC25" s="28">
        <f t="shared" si="3"/>
        <v>-1000</v>
      </c>
      <c r="AD25" s="31">
        <f t="shared" si="4"/>
        <v>0</v>
      </c>
      <c r="AE25" s="78">
        <v>0</v>
      </c>
      <c r="AF25" s="72" t="s">
        <v>208</v>
      </c>
    </row>
    <row r="26" spans="1:32" ht="33" customHeight="1">
      <c r="A26" s="1" t="s">
        <v>87</v>
      </c>
      <c r="B26" s="25"/>
      <c r="C26" s="14"/>
      <c r="D26" s="25"/>
      <c r="E26" s="14"/>
      <c r="F26" s="25"/>
      <c r="G26" s="14"/>
      <c r="H26" s="25"/>
      <c r="I26" s="14"/>
      <c r="J26" s="25"/>
      <c r="K26" s="14"/>
      <c r="L26" s="34"/>
      <c r="M26" s="14"/>
      <c r="N26" s="45"/>
      <c r="O26" s="14"/>
      <c r="P26" s="11"/>
      <c r="Q26" s="14"/>
      <c r="R26" s="11"/>
      <c r="S26" s="14"/>
      <c r="T26" s="11"/>
      <c r="U26" s="14"/>
      <c r="V26" s="11"/>
      <c r="W26" s="14"/>
      <c r="X26" s="11"/>
      <c r="Y26" s="19"/>
      <c r="Z26" s="13"/>
      <c r="AA26" s="42">
        <f t="shared" si="2"/>
        <v>0</v>
      </c>
      <c r="AB26" s="39"/>
      <c r="AC26" s="28">
        <f t="shared" si="3"/>
        <v>0</v>
      </c>
      <c r="AD26" s="31" t="str">
        <f t="shared" si="4"/>
        <v/>
      </c>
      <c r="AE26" s="80"/>
      <c r="AF26" s="72"/>
    </row>
    <row r="27" spans="1:32">
      <c r="A27" s="48" t="s">
        <v>88</v>
      </c>
      <c r="B27" s="25"/>
      <c r="C27" s="14">
        <f>B27/$AB27</f>
        <v>0</v>
      </c>
      <c r="D27" s="25"/>
      <c r="E27" s="14">
        <f>D27/$AB27</f>
        <v>0</v>
      </c>
      <c r="F27" s="27">
        <f>30</f>
        <v>30</v>
      </c>
      <c r="G27" s="14">
        <f>F27/$AB27</f>
        <v>0.15</v>
      </c>
      <c r="H27" s="25"/>
      <c r="I27" s="14">
        <f>H27/$AB27</f>
        <v>0</v>
      </c>
      <c r="J27" s="25"/>
      <c r="K27" s="14">
        <f>J27/$AB27</f>
        <v>0</v>
      </c>
      <c r="L27" s="36">
        <f>30</f>
        <v>30</v>
      </c>
      <c r="M27" s="14">
        <f>L27/$AB27</f>
        <v>0.15</v>
      </c>
      <c r="N27" s="45"/>
      <c r="O27" s="14">
        <f>N27/$AB27</f>
        <v>0</v>
      </c>
      <c r="P27" s="11"/>
      <c r="Q27" s="14">
        <f>P27/$AB27</f>
        <v>0</v>
      </c>
      <c r="R27" s="11"/>
      <c r="S27" s="14">
        <f>R27/$AB27</f>
        <v>0</v>
      </c>
      <c r="T27" s="11"/>
      <c r="U27" s="14">
        <f>T27/$AB27</f>
        <v>0</v>
      </c>
      <c r="V27" s="11"/>
      <c r="W27" s="14">
        <f>V27/$AB27</f>
        <v>0</v>
      </c>
      <c r="X27" s="11"/>
      <c r="Y27" s="19">
        <f>X27/$AB27</f>
        <v>0</v>
      </c>
      <c r="Z27" s="13"/>
      <c r="AA27" s="43">
        <v>240</v>
      </c>
      <c r="AB27" s="37">
        <v>200</v>
      </c>
      <c r="AC27" s="28">
        <f t="shared" si="3"/>
        <v>40</v>
      </c>
      <c r="AD27" s="31">
        <f t="shared" si="4"/>
        <v>1.2</v>
      </c>
      <c r="AE27" s="78">
        <v>240</v>
      </c>
      <c r="AF27" s="72"/>
    </row>
    <row r="28" spans="1:32">
      <c r="A28" s="48" t="s">
        <v>0</v>
      </c>
      <c r="B28" s="27">
        <f>160</f>
        <v>160</v>
      </c>
      <c r="C28" s="14">
        <f>B28/$AB28</f>
        <v>4.5714285714285714E-2</v>
      </c>
      <c r="D28" s="27">
        <f>225</f>
        <v>225</v>
      </c>
      <c r="E28" s="14">
        <f>D28/$AB28</f>
        <v>6.4285714285714279E-2</v>
      </c>
      <c r="F28" s="27">
        <f>600</f>
        <v>600</v>
      </c>
      <c r="G28" s="14">
        <f>F28/$AB28</f>
        <v>0.17142857142857143</v>
      </c>
      <c r="H28" s="27">
        <f>790</f>
        <v>790</v>
      </c>
      <c r="I28" s="14">
        <f>H28/$AB28</f>
        <v>0.2257142857142857</v>
      </c>
      <c r="J28" s="27">
        <f>525</f>
        <v>525</v>
      </c>
      <c r="K28" s="14">
        <f>J28/$AB28</f>
        <v>0.15</v>
      </c>
      <c r="L28" s="34"/>
      <c r="M28" s="14">
        <f>L28/$AB28</f>
        <v>0</v>
      </c>
      <c r="N28" s="45">
        <v>75</v>
      </c>
      <c r="O28" s="14">
        <f>N28/$AB28</f>
        <v>2.1428571428571429E-2</v>
      </c>
      <c r="P28" s="11"/>
      <c r="Q28" s="14">
        <f>P28/$AB28</f>
        <v>0</v>
      </c>
      <c r="R28" s="11"/>
      <c r="S28" s="14">
        <f>R28/$AB28</f>
        <v>0</v>
      </c>
      <c r="T28" s="11"/>
      <c r="U28" s="14">
        <f>T28/$AB28</f>
        <v>0</v>
      </c>
      <c r="V28" s="11"/>
      <c r="W28" s="14">
        <f>V28/$AB28</f>
        <v>0</v>
      </c>
      <c r="X28" s="11"/>
      <c r="Y28" s="19">
        <f>X28/$AB28</f>
        <v>0</v>
      </c>
      <c r="Z28" s="13"/>
      <c r="AA28" s="43" t="s">
        <v>212</v>
      </c>
      <c r="AB28" s="37">
        <v>3500</v>
      </c>
      <c r="AC28" s="28">
        <v>-365</v>
      </c>
      <c r="AD28" s="31">
        <v>0.89570000000000005</v>
      </c>
      <c r="AE28" s="78">
        <v>6000</v>
      </c>
      <c r="AF28" s="72" t="s">
        <v>174</v>
      </c>
    </row>
    <row r="29" spans="1:32" ht="42" customHeight="1">
      <c r="A29" s="1" t="s">
        <v>1</v>
      </c>
      <c r="B29" s="26">
        <f>((B26)+(B27))+(B28)</f>
        <v>160</v>
      </c>
      <c r="C29" s="14">
        <f>B29/$AB29</f>
        <v>4.3243243243243246E-2</v>
      </c>
      <c r="D29" s="26">
        <f>((D26)+(D27))+(D28)</f>
        <v>225</v>
      </c>
      <c r="E29" s="14">
        <f>D29/$AB29</f>
        <v>6.0810810810810814E-2</v>
      </c>
      <c r="F29" s="26">
        <f>((F26)+(F27))+(F28)</f>
        <v>630</v>
      </c>
      <c r="G29" s="14">
        <f>F29/$AB29</f>
        <v>0.17027027027027028</v>
      </c>
      <c r="H29" s="26">
        <f>((H26)+(H27))+(H28)</f>
        <v>790</v>
      </c>
      <c r="I29" s="14">
        <f>H29/$AB29</f>
        <v>0.21351351351351353</v>
      </c>
      <c r="J29" s="26">
        <f>((J26)+(J27))+(J28)</f>
        <v>525</v>
      </c>
      <c r="K29" s="14">
        <f>J29/$AB29</f>
        <v>0.14189189189189189</v>
      </c>
      <c r="L29" s="35">
        <f>((L26)+(L27))+(L28)</f>
        <v>30</v>
      </c>
      <c r="M29" s="14">
        <f>L29/$AB29</f>
        <v>8.1081081081081086E-3</v>
      </c>
      <c r="N29" s="45">
        <v>75</v>
      </c>
      <c r="O29" s="14">
        <f>N29/$AB29</f>
        <v>2.0270270270270271E-2</v>
      </c>
      <c r="P29" s="11"/>
      <c r="Q29" s="14">
        <f>P29/$AB29</f>
        <v>0</v>
      </c>
      <c r="R29" s="11"/>
      <c r="S29" s="14">
        <f>R29/$AB29</f>
        <v>0</v>
      </c>
      <c r="T29" s="11"/>
      <c r="U29" s="14">
        <f>T29/$AB29</f>
        <v>0</v>
      </c>
      <c r="V29" s="11"/>
      <c r="W29" s="14">
        <f>V29/$AB29</f>
        <v>0</v>
      </c>
      <c r="X29" s="11"/>
      <c r="Y29" s="19">
        <f>X29/$AB29</f>
        <v>0</v>
      </c>
      <c r="Z29" s="13"/>
      <c r="AA29" s="41">
        <v>3375</v>
      </c>
      <c r="AB29" s="38">
        <f>((AB26)+(AB27))+(AB28)</f>
        <v>3700</v>
      </c>
      <c r="AC29" s="29">
        <f t="shared" si="3"/>
        <v>-325</v>
      </c>
      <c r="AD29" s="32">
        <f t="shared" si="4"/>
        <v>0.91216216216216217</v>
      </c>
      <c r="AE29" s="79">
        <f>((AE26)+(AE27))+(AE28)</f>
        <v>6240</v>
      </c>
      <c r="AF29" s="72"/>
    </row>
    <row r="30" spans="1:32">
      <c r="A30" s="1" t="s">
        <v>2</v>
      </c>
      <c r="B30" s="25"/>
      <c r="C30" s="14"/>
      <c r="D30" s="25"/>
      <c r="E30" s="14"/>
      <c r="F30" s="25"/>
      <c r="G30" s="14"/>
      <c r="H30" s="25"/>
      <c r="I30" s="14"/>
      <c r="J30" s="25"/>
      <c r="K30" s="14"/>
      <c r="L30" s="34"/>
      <c r="M30" s="14"/>
      <c r="N30" s="45"/>
      <c r="O30" s="14"/>
      <c r="P30" s="11"/>
      <c r="Q30" s="14"/>
      <c r="R30" s="11"/>
      <c r="S30" s="14"/>
      <c r="T30" s="11"/>
      <c r="U30" s="14"/>
      <c r="V30" s="11"/>
      <c r="W30" s="14"/>
      <c r="X30" s="11"/>
      <c r="Y30" s="19"/>
      <c r="Z30" s="13"/>
      <c r="AA30" s="42">
        <f t="shared" si="2"/>
        <v>0</v>
      </c>
      <c r="AB30" s="39"/>
      <c r="AC30" s="28">
        <f t="shared" si="3"/>
        <v>0</v>
      </c>
      <c r="AD30" s="31" t="str">
        <f t="shared" si="4"/>
        <v/>
      </c>
      <c r="AE30" s="80"/>
      <c r="AF30" s="72"/>
    </row>
    <row r="31" spans="1:32">
      <c r="A31" s="1" t="s">
        <v>157</v>
      </c>
      <c r="B31" s="25"/>
      <c r="C31" s="14">
        <f>B31/$AB31</f>
        <v>0</v>
      </c>
      <c r="D31" s="25"/>
      <c r="E31" s="14">
        <f>D31/$AB31</f>
        <v>0</v>
      </c>
      <c r="F31" s="27">
        <f>1000</f>
        <v>1000</v>
      </c>
      <c r="G31" s="14">
        <f>F31/$AB31</f>
        <v>0.125</v>
      </c>
      <c r="H31" s="27">
        <f>1000</f>
        <v>1000</v>
      </c>
      <c r="I31" s="14">
        <f>H31/$AB31</f>
        <v>0.125</v>
      </c>
      <c r="J31" s="25"/>
      <c r="K31" s="14">
        <f>J31/$AB31</f>
        <v>0</v>
      </c>
      <c r="L31" s="34"/>
      <c r="M31" s="14">
        <f>L31/$AB31</f>
        <v>0</v>
      </c>
      <c r="N31" s="45">
        <v>1000</v>
      </c>
      <c r="O31" s="14">
        <f>N31/$AB31</f>
        <v>0.125</v>
      </c>
      <c r="P31" s="11"/>
      <c r="Q31" s="14">
        <f>P31/$AB31</f>
        <v>0</v>
      </c>
      <c r="R31" s="11"/>
      <c r="S31" s="14">
        <f>R31/$AB31</f>
        <v>0</v>
      </c>
      <c r="T31" s="11"/>
      <c r="U31" s="14">
        <f>T31/$AB31</f>
        <v>0</v>
      </c>
      <c r="V31" s="11"/>
      <c r="W31" s="14">
        <f>V31/$AB31</f>
        <v>0</v>
      </c>
      <c r="X31" s="11"/>
      <c r="Y31" s="19">
        <f>X31/$AB31</f>
        <v>0</v>
      </c>
      <c r="Z31" s="13"/>
      <c r="AA31" s="43">
        <v>4500</v>
      </c>
      <c r="AB31" s="37">
        <v>8000</v>
      </c>
      <c r="AC31" s="28">
        <f t="shared" si="3"/>
        <v>-3500</v>
      </c>
      <c r="AD31" s="31">
        <f t="shared" si="4"/>
        <v>0.5625</v>
      </c>
      <c r="AE31" s="78">
        <v>5000</v>
      </c>
      <c r="AF31" s="74" t="s">
        <v>158</v>
      </c>
    </row>
    <row r="32" spans="1:32" s="7" customFormat="1">
      <c r="A32" s="1"/>
      <c r="B32" s="25"/>
      <c r="C32" s="14"/>
      <c r="D32" s="25"/>
      <c r="E32" s="14"/>
      <c r="F32" s="27"/>
      <c r="G32" s="14"/>
      <c r="H32" s="27"/>
      <c r="I32" s="14"/>
      <c r="J32" s="25"/>
      <c r="K32" s="14"/>
      <c r="L32" s="34"/>
      <c r="M32" s="14"/>
      <c r="N32" s="45"/>
      <c r="O32" s="14"/>
      <c r="P32" s="11"/>
      <c r="Q32" s="14"/>
      <c r="R32" s="11"/>
      <c r="S32" s="14"/>
      <c r="T32" s="11"/>
      <c r="U32" s="14"/>
      <c r="V32" s="11"/>
      <c r="W32" s="14"/>
      <c r="X32" s="11"/>
      <c r="Y32" s="19"/>
      <c r="Z32" s="13"/>
      <c r="AA32" s="43"/>
      <c r="AB32" s="37"/>
      <c r="AC32" s="28"/>
      <c r="AD32" s="31"/>
      <c r="AE32" s="78"/>
      <c r="AF32" s="74" t="s">
        <v>172</v>
      </c>
    </row>
    <row r="33" spans="1:32">
      <c r="A33" s="48" t="s">
        <v>4</v>
      </c>
      <c r="B33" s="25"/>
      <c r="C33" s="14">
        <f>B33/$AB33</f>
        <v>0</v>
      </c>
      <c r="D33" s="25"/>
      <c r="E33" s="14">
        <f>D33/$AB33</f>
        <v>0</v>
      </c>
      <c r="F33" s="25"/>
      <c r="G33" s="14">
        <f>F33/$AB33</f>
        <v>0</v>
      </c>
      <c r="H33" s="25"/>
      <c r="I33" s="14">
        <f>H33/$AB33</f>
        <v>0</v>
      </c>
      <c r="J33" s="25"/>
      <c r="K33" s="14">
        <f>J33/$AB33</f>
        <v>0</v>
      </c>
      <c r="L33" s="34"/>
      <c r="M33" s="14">
        <f>L33/$AB33</f>
        <v>0</v>
      </c>
      <c r="N33" s="45"/>
      <c r="O33" s="14">
        <f>N33/$AB33</f>
        <v>0</v>
      </c>
      <c r="P33" s="11"/>
      <c r="Q33" s="14">
        <f>P33/$AB33</f>
        <v>0</v>
      </c>
      <c r="R33" s="11"/>
      <c r="S33" s="14">
        <f>R33/$AB33</f>
        <v>0</v>
      </c>
      <c r="T33" s="11"/>
      <c r="U33" s="14">
        <f>T33/$AB33</f>
        <v>0</v>
      </c>
      <c r="V33" s="11"/>
      <c r="W33" s="14">
        <f>V33/$AB33</f>
        <v>0</v>
      </c>
      <c r="X33" s="11"/>
      <c r="Y33" s="19">
        <f>X33/$AB33</f>
        <v>0</v>
      </c>
      <c r="Z33" s="13"/>
      <c r="AA33" s="43">
        <f t="shared" si="2"/>
        <v>0</v>
      </c>
      <c r="AB33" s="37">
        <v>50</v>
      </c>
      <c r="AC33" s="28">
        <f t="shared" si="3"/>
        <v>-50</v>
      </c>
      <c r="AD33" s="31">
        <f t="shared" si="4"/>
        <v>0</v>
      </c>
      <c r="AE33" s="78">
        <v>0</v>
      </c>
      <c r="AF33" s="72"/>
    </row>
    <row r="34" spans="1:32">
      <c r="A34" s="48" t="s">
        <v>159</v>
      </c>
      <c r="B34" s="27">
        <f>7210</f>
        <v>7210</v>
      </c>
      <c r="C34" s="14">
        <f>B34/$AB34</f>
        <v>0.16022222222222221</v>
      </c>
      <c r="D34" s="27">
        <f>4390</f>
        <v>4390</v>
      </c>
      <c r="E34" s="14">
        <f>D34/$AB34</f>
        <v>9.7555555555555562E-2</v>
      </c>
      <c r="F34" s="27">
        <f>5120</f>
        <v>5120</v>
      </c>
      <c r="G34" s="14">
        <f>F34/$AB34</f>
        <v>0.11377777777777778</v>
      </c>
      <c r="H34" s="27">
        <f>2890</f>
        <v>2890</v>
      </c>
      <c r="I34" s="14">
        <f>H34/$AB34</f>
        <v>6.4222222222222222E-2</v>
      </c>
      <c r="J34" s="27">
        <f>4420</f>
        <v>4420</v>
      </c>
      <c r="K34" s="14">
        <f>J34/$AB34</f>
        <v>9.8222222222222225E-2</v>
      </c>
      <c r="L34" s="36">
        <f>6925</f>
        <v>6925</v>
      </c>
      <c r="M34" s="14">
        <f>L34/$AB34</f>
        <v>0.15388888888888888</v>
      </c>
      <c r="N34" s="45">
        <v>5400</v>
      </c>
      <c r="O34" s="14">
        <f>N34/$AB34</f>
        <v>0.12</v>
      </c>
      <c r="P34" s="11"/>
      <c r="Q34" s="14">
        <f>P34/$AB34</f>
        <v>0</v>
      </c>
      <c r="R34" s="11"/>
      <c r="S34" s="14">
        <f>R34/$AB34</f>
        <v>0</v>
      </c>
      <c r="T34" s="11"/>
      <c r="U34" s="14">
        <f>T34/$AB34</f>
        <v>0</v>
      </c>
      <c r="V34" s="11"/>
      <c r="W34" s="14">
        <f>V34/$AB34</f>
        <v>0</v>
      </c>
      <c r="X34" s="11"/>
      <c r="Y34" s="19">
        <f>X34/$AB34</f>
        <v>0</v>
      </c>
      <c r="Z34" s="13"/>
      <c r="AA34" s="43">
        <v>57475</v>
      </c>
      <c r="AB34" s="37">
        <v>45000</v>
      </c>
      <c r="AC34" s="28">
        <f t="shared" si="3"/>
        <v>12475</v>
      </c>
      <c r="AD34" s="31">
        <f t="shared" si="4"/>
        <v>1.2772222222222223</v>
      </c>
      <c r="AE34" s="78">
        <v>58000</v>
      </c>
      <c r="AF34" s="72"/>
    </row>
    <row r="35" spans="1:32">
      <c r="A35" s="1" t="s">
        <v>6</v>
      </c>
      <c r="B35" s="26">
        <f>(((B30)+(B31))+(B33))+(B34)</f>
        <v>7210</v>
      </c>
      <c r="C35" s="14">
        <f>B35/$AB35</f>
        <v>0.13590951932139492</v>
      </c>
      <c r="D35" s="26">
        <f>(((D30)+(D31))+(D33))+(D34)</f>
        <v>4390</v>
      </c>
      <c r="E35" s="14">
        <f>D35/$AB35</f>
        <v>8.27521206409048E-2</v>
      </c>
      <c r="F35" s="26">
        <f>(((F30)+(F31))+(F33))+(F34)</f>
        <v>6120</v>
      </c>
      <c r="G35" s="14">
        <f>F35/$AB35</f>
        <v>0.11536286522148916</v>
      </c>
      <c r="H35" s="26">
        <f>(((H30)+(H31))+(H33))+(H34)</f>
        <v>3890</v>
      </c>
      <c r="I35" s="14">
        <f>H35/$AB35</f>
        <v>7.3327049952874646E-2</v>
      </c>
      <c r="J35" s="26">
        <f>(((J30)+(J31))+(J33))+(J34)</f>
        <v>4420</v>
      </c>
      <c r="K35" s="14">
        <f>J35/$AB35</f>
        <v>8.3317624882186622E-2</v>
      </c>
      <c r="L35" s="35">
        <f>(((L30)+(L31))+(L33))+(L34)</f>
        <v>6925</v>
      </c>
      <c r="M35" s="14">
        <f>L35/$AB35</f>
        <v>0.13053722902921772</v>
      </c>
      <c r="N35" s="45">
        <v>6400</v>
      </c>
      <c r="O35" s="14">
        <f>N35/$AB35</f>
        <v>0.12064090480678605</v>
      </c>
      <c r="P35" s="11"/>
      <c r="Q35" s="14">
        <f>P35/$AB35</f>
        <v>0</v>
      </c>
      <c r="R35" s="11"/>
      <c r="S35" s="14">
        <f>R35/$AB35</f>
        <v>0</v>
      </c>
      <c r="T35" s="11"/>
      <c r="U35" s="14">
        <f>T35/$AB35</f>
        <v>0</v>
      </c>
      <c r="V35" s="11"/>
      <c r="W35" s="14">
        <f>V35/$AB35</f>
        <v>0</v>
      </c>
      <c r="X35" s="11"/>
      <c r="Y35" s="19">
        <f>X35/$AB35</f>
        <v>0</v>
      </c>
      <c r="Z35" s="13"/>
      <c r="AA35" s="41">
        <v>61975</v>
      </c>
      <c r="AB35" s="38">
        <f>(((AB30)+(AB31))+(AB33))+(AB34)</f>
        <v>53050</v>
      </c>
      <c r="AC35" s="29">
        <f t="shared" si="3"/>
        <v>8925</v>
      </c>
      <c r="AD35" s="32">
        <f t="shared" si="4"/>
        <v>1.1682375117813384</v>
      </c>
      <c r="AE35" s="79">
        <f>(((AE30)+(AE31))+(AE33))+(AE34)</f>
        <v>63000</v>
      </c>
      <c r="AF35" s="72"/>
    </row>
    <row r="36" spans="1:32">
      <c r="A36" s="1" t="s">
        <v>7</v>
      </c>
      <c r="B36" s="25"/>
      <c r="C36" s="14"/>
      <c r="D36" s="25"/>
      <c r="E36" s="14"/>
      <c r="F36" s="25"/>
      <c r="G36" s="14"/>
      <c r="H36" s="25"/>
      <c r="I36" s="14"/>
      <c r="J36" s="25"/>
      <c r="K36" s="14"/>
      <c r="L36" s="34"/>
      <c r="M36" s="14"/>
      <c r="N36" s="45"/>
      <c r="O36" s="14"/>
      <c r="P36" s="11"/>
      <c r="Q36" s="14"/>
      <c r="R36" s="11"/>
      <c r="S36" s="14"/>
      <c r="T36" s="11"/>
      <c r="U36" s="14"/>
      <c r="V36" s="11"/>
      <c r="W36" s="14"/>
      <c r="X36" s="11"/>
      <c r="Y36" s="19"/>
      <c r="Z36" s="13"/>
      <c r="AA36" s="42">
        <f t="shared" si="2"/>
        <v>0</v>
      </c>
      <c r="AB36" s="39"/>
      <c r="AC36" s="28">
        <f t="shared" si="3"/>
        <v>0</v>
      </c>
      <c r="AD36" s="31" t="str">
        <f t="shared" si="4"/>
        <v/>
      </c>
      <c r="AE36" s="80"/>
      <c r="AF36" s="72"/>
    </row>
    <row r="37" spans="1:32">
      <c r="A37" s="48" t="s">
        <v>8</v>
      </c>
      <c r="B37" s="25"/>
      <c r="C37" s="14">
        <f>B37/$AB37</f>
        <v>0</v>
      </c>
      <c r="D37" s="27">
        <f>0.32</f>
        <v>0.32</v>
      </c>
      <c r="E37" s="14">
        <f>D37/$AB37</f>
        <v>3.2000000000000001E-2</v>
      </c>
      <c r="F37" s="25"/>
      <c r="G37" s="14">
        <f>F37/$AB37</f>
        <v>0</v>
      </c>
      <c r="H37" s="25"/>
      <c r="I37" s="14">
        <f>H37/$AB37</f>
        <v>0</v>
      </c>
      <c r="J37" s="27">
        <f>0.34</f>
        <v>0.34</v>
      </c>
      <c r="K37" s="14">
        <f>J37/$AB37</f>
        <v>3.4000000000000002E-2</v>
      </c>
      <c r="L37" s="34"/>
      <c r="M37" s="14">
        <f>L37/$AB37</f>
        <v>0</v>
      </c>
      <c r="N37" s="45"/>
      <c r="O37" s="14">
        <f>N37/$AB37</f>
        <v>0</v>
      </c>
      <c r="P37" s="11"/>
      <c r="Q37" s="14">
        <f>P37/$AB37</f>
        <v>0</v>
      </c>
      <c r="R37" s="11"/>
      <c r="S37" s="14">
        <f>R37/$AB37</f>
        <v>0</v>
      </c>
      <c r="T37" s="11"/>
      <c r="U37" s="14">
        <f>T37/$AB37</f>
        <v>0</v>
      </c>
      <c r="V37" s="11"/>
      <c r="W37" s="14">
        <f>V37/$AB37</f>
        <v>0</v>
      </c>
      <c r="X37" s="11"/>
      <c r="Y37" s="19">
        <f>X37/$AB37</f>
        <v>0</v>
      </c>
      <c r="Z37" s="13"/>
      <c r="AA37" s="43">
        <f t="shared" si="2"/>
        <v>0.66</v>
      </c>
      <c r="AB37" s="37">
        <v>10</v>
      </c>
      <c r="AC37" s="28">
        <f t="shared" si="3"/>
        <v>-9.34</v>
      </c>
      <c r="AD37" s="31">
        <f t="shared" si="4"/>
        <v>6.6000000000000003E-2</v>
      </c>
      <c r="AE37" s="78">
        <v>0</v>
      </c>
      <c r="AF37" s="72"/>
    </row>
    <row r="38" spans="1:32">
      <c r="A38" s="48" t="s">
        <v>9</v>
      </c>
      <c r="B38" s="25"/>
      <c r="C38" s="14">
        <f>B38/$AB38</f>
        <v>0</v>
      </c>
      <c r="D38" s="25"/>
      <c r="E38" s="14">
        <f>D38/$AB38</f>
        <v>0</v>
      </c>
      <c r="F38" s="27">
        <f>2216.61</f>
        <v>2216.61</v>
      </c>
      <c r="G38" s="14">
        <f>F38/$AB38</f>
        <v>0.44332200000000005</v>
      </c>
      <c r="H38" s="25"/>
      <c r="I38" s="14">
        <f>H38/$AB38</f>
        <v>0</v>
      </c>
      <c r="J38" s="25"/>
      <c r="K38" s="14">
        <f>J38/$AB38</f>
        <v>0</v>
      </c>
      <c r="L38" s="36">
        <f>-2216.61</f>
        <v>-2216.61</v>
      </c>
      <c r="M38" s="14">
        <f>L38/$AB38</f>
        <v>-0.44332200000000005</v>
      </c>
      <c r="N38" s="45"/>
      <c r="O38" s="14">
        <f>N38/$AB38</f>
        <v>0</v>
      </c>
      <c r="P38" s="11"/>
      <c r="Q38" s="14">
        <f>P38/$AB38</f>
        <v>0</v>
      </c>
      <c r="R38" s="11"/>
      <c r="S38" s="14">
        <f>R38/$AB38</f>
        <v>0</v>
      </c>
      <c r="T38" s="11"/>
      <c r="U38" s="14">
        <f>T38/$AB38</f>
        <v>0</v>
      </c>
      <c r="V38" s="11"/>
      <c r="W38" s="14">
        <f>V38/$AB38</f>
        <v>0</v>
      </c>
      <c r="X38" s="11"/>
      <c r="Y38" s="19">
        <f>X38/$AB38</f>
        <v>0</v>
      </c>
      <c r="Z38" s="13"/>
      <c r="AA38" s="43">
        <f t="shared" si="2"/>
        <v>0</v>
      </c>
      <c r="AB38" s="37">
        <v>5000</v>
      </c>
      <c r="AC38" s="28">
        <f t="shared" si="3"/>
        <v>-5000</v>
      </c>
      <c r="AD38" s="31">
        <f t="shared" si="4"/>
        <v>0</v>
      </c>
      <c r="AE38" s="78">
        <v>0</v>
      </c>
      <c r="AF38" s="72"/>
    </row>
    <row r="39" spans="1:32">
      <c r="A39" s="1" t="s">
        <v>10</v>
      </c>
      <c r="B39" s="26">
        <f>((B36)+(B37))+(B38)</f>
        <v>0</v>
      </c>
      <c r="C39" s="14">
        <f>B39/$AB39</f>
        <v>0</v>
      </c>
      <c r="D39" s="26">
        <f>((D36)+(D37))+(D38)</f>
        <v>0.32</v>
      </c>
      <c r="E39" s="14">
        <f>D39/$AB39</f>
        <v>6.3872255489021962E-5</v>
      </c>
      <c r="F39" s="26">
        <f>((F36)+(F37))+(F38)</f>
        <v>2216.61</v>
      </c>
      <c r="G39" s="14">
        <f>F39/$AB39</f>
        <v>0.44243712574850302</v>
      </c>
      <c r="H39" s="26">
        <f>((H36)+(H37))+(H38)</f>
        <v>0</v>
      </c>
      <c r="I39" s="14">
        <f>H39/$AB39</f>
        <v>0</v>
      </c>
      <c r="J39" s="26">
        <f>((J36)+(J37))+(J38)</f>
        <v>0.34</v>
      </c>
      <c r="K39" s="14">
        <f>J39/$AB39</f>
        <v>6.7864271457085827E-5</v>
      </c>
      <c r="L39" s="35">
        <f>((L36)+(L37))+(L38)</f>
        <v>-2216.61</v>
      </c>
      <c r="M39" s="14">
        <f>L39/$AB39</f>
        <v>-0.44243712574850302</v>
      </c>
      <c r="N39" s="45">
        <v>0</v>
      </c>
      <c r="O39" s="14">
        <f>N39/$AB39</f>
        <v>0</v>
      </c>
      <c r="P39" s="11"/>
      <c r="Q39" s="14">
        <f>P39/$AB39</f>
        <v>0</v>
      </c>
      <c r="R39" s="11"/>
      <c r="S39" s="14">
        <f>R39/$AB39</f>
        <v>0</v>
      </c>
      <c r="T39" s="11"/>
      <c r="U39" s="14">
        <f>T39/$AB39</f>
        <v>0</v>
      </c>
      <c r="V39" s="11"/>
      <c r="W39" s="14">
        <f>V39/$AB39</f>
        <v>0</v>
      </c>
      <c r="X39" s="11"/>
      <c r="Y39" s="19">
        <f>X39/$AB39</f>
        <v>0</v>
      </c>
      <c r="Z39" s="13"/>
      <c r="AA39" s="41">
        <f t="shared" si="2"/>
        <v>0.66000000000014558</v>
      </c>
      <c r="AB39" s="38">
        <f>((AB36)+(AB37))+(AB38)</f>
        <v>5010</v>
      </c>
      <c r="AC39" s="29">
        <f t="shared" si="3"/>
        <v>-5009.34</v>
      </c>
      <c r="AD39" s="32">
        <f t="shared" si="4"/>
        <v>1.3173652694613684E-4</v>
      </c>
      <c r="AE39" s="79">
        <f>((AE36)+(AE37))+(AE38)</f>
        <v>0</v>
      </c>
      <c r="AF39" s="72"/>
    </row>
    <row r="40" spans="1:32" s="7" customFormat="1">
      <c r="A40" s="48" t="s">
        <v>211</v>
      </c>
      <c r="B40" s="26"/>
      <c r="C40" s="14"/>
      <c r="D40" s="26"/>
      <c r="E40" s="14"/>
      <c r="F40" s="26"/>
      <c r="G40" s="14"/>
      <c r="H40" s="26"/>
      <c r="I40" s="14"/>
      <c r="J40" s="26"/>
      <c r="K40" s="14"/>
      <c r="L40" s="35"/>
      <c r="M40" s="14"/>
      <c r="N40" s="45"/>
      <c r="O40" s="14"/>
      <c r="P40" s="11"/>
      <c r="Q40" s="14"/>
      <c r="R40" s="11"/>
      <c r="S40" s="14"/>
      <c r="T40" s="11"/>
      <c r="U40" s="14"/>
      <c r="V40" s="11"/>
      <c r="W40" s="14"/>
      <c r="X40" s="11"/>
      <c r="Y40" s="19"/>
      <c r="Z40" s="13"/>
      <c r="AA40" s="41">
        <v>2190</v>
      </c>
      <c r="AB40" s="38"/>
      <c r="AC40" s="29">
        <v>2190.96</v>
      </c>
      <c r="AD40" s="32"/>
      <c r="AE40" s="79">
        <v>2200</v>
      </c>
      <c r="AF40" s="72"/>
    </row>
    <row r="41" spans="1:32" s="12" customFormat="1">
      <c r="A41" s="1" t="s">
        <v>210</v>
      </c>
      <c r="B41" s="26">
        <f>((((((B10)+(B21))+(B24))+(B25))+(B29))+(B35))+(B39)</f>
        <v>215913.93</v>
      </c>
      <c r="C41" s="14">
        <f>B41/$AB41</f>
        <v>0.30039433708478325</v>
      </c>
      <c r="D41" s="26">
        <f>((((((D10)+(D21))+(D24))+(D25))+(D29))+(D35))+(D39)</f>
        <v>100983.21</v>
      </c>
      <c r="E41" s="14">
        <f>D41/$AB41</f>
        <v>0.1404948000559457</v>
      </c>
      <c r="F41" s="26">
        <f>((((((F10)+(F21))+(F24))+(F25))+(F29))+(F35))+(F39)</f>
        <v>9535.61</v>
      </c>
      <c r="G41" s="14">
        <f>F41/$AB41</f>
        <v>1.3266597688481842E-2</v>
      </c>
      <c r="H41" s="26">
        <f>((((((H10)+(H21))+(H24))+(H25))+(H29))+(H35))+(H39)</f>
        <v>116180.16</v>
      </c>
      <c r="I41" s="14">
        <f>H41/$AB41</f>
        <v>0.16163784405019191</v>
      </c>
      <c r="J41" s="26">
        <f>((((((J10)+(J21))+(J24))+(J25))+(J29))+(J35))+(J39)</f>
        <v>7705.34</v>
      </c>
      <c r="K41" s="14">
        <f>J41/$AB41</f>
        <v>1.0720199948715045E-2</v>
      </c>
      <c r="L41" s="35">
        <f>((((((L10)+(L21))+(L24))+(L25))+(L29))+(L35))+(L39)</f>
        <v>8418.39</v>
      </c>
      <c r="M41" s="14">
        <f>L41/$AB41</f>
        <v>1.1712244241819729E-2</v>
      </c>
      <c r="N41" s="45">
        <v>99242.54</v>
      </c>
      <c r="O41" s="14">
        <f>N41/$AB41</f>
        <v>0.13807306001011646</v>
      </c>
      <c r="P41" s="11"/>
      <c r="Q41" s="14">
        <f>P41/$AB41</f>
        <v>0</v>
      </c>
      <c r="R41" s="11"/>
      <c r="S41" s="14">
        <f>R41/$AB41</f>
        <v>0</v>
      </c>
      <c r="T41" s="11"/>
      <c r="U41" s="14">
        <f>T41/$AB41</f>
        <v>0</v>
      </c>
      <c r="V41" s="11"/>
      <c r="W41" s="14">
        <f>V41/$AB41</f>
        <v>0</v>
      </c>
      <c r="X41" s="11"/>
      <c r="Y41" s="19">
        <f>X41/$AB41</f>
        <v>0</v>
      </c>
      <c r="Z41" s="13"/>
      <c r="AA41" s="41">
        <v>910624</v>
      </c>
      <c r="AB41" s="38">
        <f>((((((AB10)+(AB21))+(AB24))+(AB25))+(AB29))+(AB35))+(AB39)</f>
        <v>718768.31</v>
      </c>
      <c r="AC41" s="29">
        <f t="shared" si="3"/>
        <v>191855.68999999994</v>
      </c>
      <c r="AD41" s="32">
        <f t="shared" si="4"/>
        <v>1.2669228558504477</v>
      </c>
      <c r="AE41" s="79">
        <v>632040</v>
      </c>
      <c r="AF41" s="77"/>
    </row>
    <row r="42" spans="1:32">
      <c r="A42" s="1" t="s">
        <v>12</v>
      </c>
      <c r="B42" s="26">
        <f>(B41)-(0)</f>
        <v>215913.93</v>
      </c>
      <c r="C42" s="14">
        <f>B42/$AB42</f>
        <v>0.30039433708478325</v>
      </c>
      <c r="D42" s="26">
        <f>(D41)-(0)</f>
        <v>100983.21</v>
      </c>
      <c r="E42" s="14">
        <f>D42/$AB42</f>
        <v>0.1404948000559457</v>
      </c>
      <c r="F42" s="26">
        <f>(F41)-(0)</f>
        <v>9535.61</v>
      </c>
      <c r="G42" s="14">
        <f>F42/$AB42</f>
        <v>1.3266597688481842E-2</v>
      </c>
      <c r="H42" s="26">
        <f>(H41)-(0)</f>
        <v>116180.16</v>
      </c>
      <c r="I42" s="14">
        <f>H42/$AB42</f>
        <v>0.16163784405019191</v>
      </c>
      <c r="J42" s="26">
        <f>(J41)-(0)</f>
        <v>7705.34</v>
      </c>
      <c r="K42" s="14">
        <f>J42/$AB42</f>
        <v>1.0720199948715045E-2</v>
      </c>
      <c r="L42" s="35">
        <f>(L41)-(0)</f>
        <v>8418.39</v>
      </c>
      <c r="M42" s="14">
        <f>L42/$AB42</f>
        <v>1.1712244241819729E-2</v>
      </c>
      <c r="N42" s="45">
        <v>99242.54</v>
      </c>
      <c r="O42" s="14">
        <f>N42/$AB42</f>
        <v>0.13807306001011646</v>
      </c>
      <c r="P42" s="11"/>
      <c r="Q42" s="14">
        <f>P42/$AB42</f>
        <v>0</v>
      </c>
      <c r="R42" s="11"/>
      <c r="S42" s="14">
        <f>R42/$AB42</f>
        <v>0</v>
      </c>
      <c r="T42" s="11"/>
      <c r="U42" s="14">
        <f>T42/$AB42</f>
        <v>0</v>
      </c>
      <c r="V42" s="11"/>
      <c r="W42" s="14">
        <f>V42/$AB42</f>
        <v>0</v>
      </c>
      <c r="X42" s="11"/>
      <c r="Y42" s="19">
        <f>X42/$AB42</f>
        <v>0</v>
      </c>
      <c r="Z42" s="13"/>
      <c r="AA42" s="41">
        <v>910624</v>
      </c>
      <c r="AB42" s="38">
        <f>(AB41)-(0)</f>
        <v>718768.31</v>
      </c>
      <c r="AC42" s="29">
        <v>33148.32</v>
      </c>
      <c r="AD42" s="32">
        <f t="shared" si="4"/>
        <v>1.2669228558504477</v>
      </c>
      <c r="AE42" s="79">
        <v>632040</v>
      </c>
      <c r="AF42" s="72"/>
    </row>
    <row r="43" spans="1:32">
      <c r="A43" s="48" t="s">
        <v>13</v>
      </c>
      <c r="B43" s="25"/>
      <c r="C43" s="14"/>
      <c r="D43" s="25"/>
      <c r="E43" s="14"/>
      <c r="F43" s="25"/>
      <c r="G43" s="14"/>
      <c r="H43" s="25"/>
      <c r="I43" s="14"/>
      <c r="J43" s="25"/>
      <c r="K43" s="14"/>
      <c r="L43" s="34"/>
      <c r="M43" s="14"/>
      <c r="N43" s="45"/>
      <c r="O43" s="14"/>
      <c r="P43" s="11"/>
      <c r="Q43" s="14"/>
      <c r="R43" s="11"/>
      <c r="S43" s="14"/>
      <c r="T43" s="11"/>
      <c r="U43" s="14"/>
      <c r="V43" s="11"/>
      <c r="W43" s="14"/>
      <c r="X43" s="11"/>
      <c r="Y43" s="19"/>
      <c r="Z43" s="13"/>
      <c r="AA43" s="42">
        <f t="shared" si="2"/>
        <v>0</v>
      </c>
      <c r="AB43" s="39"/>
      <c r="AC43" s="30"/>
      <c r="AD43" s="33"/>
      <c r="AE43" s="80"/>
      <c r="AF43" s="72"/>
    </row>
    <row r="44" spans="1:32">
      <c r="A44" s="1" t="s">
        <v>14</v>
      </c>
      <c r="B44" s="25"/>
      <c r="C44" s="14"/>
      <c r="D44" s="25"/>
      <c r="E44" s="14"/>
      <c r="F44" s="25"/>
      <c r="G44" s="14"/>
      <c r="H44" s="25"/>
      <c r="I44" s="14"/>
      <c r="J44" s="25"/>
      <c r="K44" s="14"/>
      <c r="L44" s="34"/>
      <c r="M44" s="14"/>
      <c r="N44" s="45"/>
      <c r="O44" s="14"/>
      <c r="P44" s="11"/>
      <c r="Q44" s="14"/>
      <c r="R44" s="11"/>
      <c r="S44" s="14"/>
      <c r="T44" s="11"/>
      <c r="U44" s="14"/>
      <c r="V44" s="11"/>
      <c r="W44" s="14"/>
      <c r="X44" s="11"/>
      <c r="Y44" s="19"/>
      <c r="Z44" s="13"/>
      <c r="AA44" s="42">
        <f t="shared" si="2"/>
        <v>0</v>
      </c>
      <c r="AB44" s="39"/>
      <c r="AC44" s="28">
        <f t="shared" ref="AC44:AC79" si="17">(AA44)-(AB44)</f>
        <v>0</v>
      </c>
      <c r="AD44" s="31" t="str">
        <f t="shared" ref="AD44:AD79" si="18">IF(AB44=0,"",(AA44)/(AB44))</f>
        <v/>
      </c>
      <c r="AE44" s="80"/>
      <c r="AF44" s="72"/>
    </row>
    <row r="45" spans="1:32">
      <c r="A45" s="48" t="s">
        <v>15</v>
      </c>
      <c r="B45" s="27">
        <f>5000</f>
        <v>5000</v>
      </c>
      <c r="C45" s="14">
        <f t="shared" ref="C45:C61" si="19">B45/$AB45</f>
        <v>8.3333333333333329E-2</v>
      </c>
      <c r="D45" s="27">
        <f>10000</f>
        <v>10000</v>
      </c>
      <c r="E45" s="14">
        <f t="shared" ref="E45:E61" si="20">D45/$AB45</f>
        <v>0.16666666666666666</v>
      </c>
      <c r="F45" s="25"/>
      <c r="G45" s="14">
        <f t="shared" ref="G45:G61" si="21">F45/$AB45</f>
        <v>0</v>
      </c>
      <c r="H45" s="27">
        <f>5000</f>
        <v>5000</v>
      </c>
      <c r="I45" s="14">
        <f t="shared" ref="I45:I61" si="22">H45/$AB45</f>
        <v>8.3333333333333329E-2</v>
      </c>
      <c r="J45" s="27">
        <f>5000</f>
        <v>5000</v>
      </c>
      <c r="K45" s="14">
        <f t="shared" ref="K45:K61" si="23">J45/$AB45</f>
        <v>8.3333333333333329E-2</v>
      </c>
      <c r="L45" s="36">
        <f>10000</f>
        <v>10000</v>
      </c>
      <c r="M45" s="14">
        <f t="shared" ref="M45:M61" si="24">L45/$AB45</f>
        <v>0.16666666666666666</v>
      </c>
      <c r="N45" s="45">
        <v>5000</v>
      </c>
      <c r="O45" s="14">
        <f t="shared" ref="O45:O61" si="25">N45/$AB45</f>
        <v>8.3333333333333329E-2</v>
      </c>
      <c r="P45" s="11"/>
      <c r="Q45" s="14">
        <f t="shared" ref="Q45:Q61" si="26">P45/$AB45</f>
        <v>0</v>
      </c>
      <c r="R45" s="11"/>
      <c r="S45" s="14">
        <f t="shared" ref="S45:S61" si="27">R45/$AB45</f>
        <v>0</v>
      </c>
      <c r="T45" s="11"/>
      <c r="U45" s="14">
        <f t="shared" ref="U45:U61" si="28">T45/$AB45</f>
        <v>0</v>
      </c>
      <c r="V45" s="11"/>
      <c r="W45" s="14">
        <f t="shared" ref="W45:W61" si="29">V45/$AB45</f>
        <v>0</v>
      </c>
      <c r="X45" s="11"/>
      <c r="Y45" s="19">
        <f t="shared" ref="Y45:Y61" si="30">X45/$AB45</f>
        <v>0</v>
      </c>
      <c r="Z45" s="13"/>
      <c r="AA45" s="43">
        <v>65500</v>
      </c>
      <c r="AB45" s="37">
        <v>60000</v>
      </c>
      <c r="AC45" s="28">
        <f t="shared" si="17"/>
        <v>5500</v>
      </c>
      <c r="AD45" s="31">
        <f t="shared" si="18"/>
        <v>1.0916666666666666</v>
      </c>
      <c r="AE45" s="78">
        <v>66000</v>
      </c>
      <c r="AF45" s="72" t="s">
        <v>175</v>
      </c>
    </row>
    <row r="46" spans="1:32" s="7" customFormat="1" ht="25">
      <c r="A46" s="63" t="s">
        <v>221</v>
      </c>
      <c r="B46" s="27"/>
      <c r="C46" s="14"/>
      <c r="D46" s="27"/>
      <c r="E46" s="14"/>
      <c r="F46" s="25"/>
      <c r="G46" s="14"/>
      <c r="H46" s="27"/>
      <c r="I46" s="14"/>
      <c r="J46" s="27"/>
      <c r="K46" s="14"/>
      <c r="L46" s="36"/>
      <c r="M46" s="14"/>
      <c r="N46" s="45"/>
      <c r="O46" s="14"/>
      <c r="P46" s="11"/>
      <c r="Q46" s="14"/>
      <c r="R46" s="11"/>
      <c r="S46" s="14"/>
      <c r="T46" s="11"/>
      <c r="U46" s="14"/>
      <c r="V46" s="11"/>
      <c r="W46" s="14"/>
      <c r="X46" s="11"/>
      <c r="Y46" s="19"/>
      <c r="Z46" s="13"/>
      <c r="AA46" s="43"/>
      <c r="AB46" s="37"/>
      <c r="AC46" s="28"/>
      <c r="AD46" s="31"/>
      <c r="AE46" s="78"/>
      <c r="AF46" s="72" t="s">
        <v>176</v>
      </c>
    </row>
    <row r="47" spans="1:32">
      <c r="A47" s="48" t="s">
        <v>16</v>
      </c>
      <c r="B47" s="25"/>
      <c r="C47" s="14">
        <f t="shared" si="19"/>
        <v>0</v>
      </c>
      <c r="D47" s="27">
        <f>310.32</f>
        <v>310.32</v>
      </c>
      <c r="E47" s="14">
        <f t="shared" si="20"/>
        <v>0.77579999999999993</v>
      </c>
      <c r="F47" s="25"/>
      <c r="G47" s="14">
        <f t="shared" si="21"/>
        <v>0</v>
      </c>
      <c r="H47" s="27">
        <f>35.12</f>
        <v>35.119999999999997</v>
      </c>
      <c r="I47" s="14">
        <f t="shared" si="22"/>
        <v>8.7799999999999989E-2</v>
      </c>
      <c r="J47" s="25"/>
      <c r="K47" s="14">
        <f t="shared" si="23"/>
        <v>0</v>
      </c>
      <c r="L47" s="34"/>
      <c r="M47" s="14">
        <f t="shared" si="24"/>
        <v>0</v>
      </c>
      <c r="N47" s="45"/>
      <c r="O47" s="14">
        <f t="shared" si="25"/>
        <v>0</v>
      </c>
      <c r="P47" s="11"/>
      <c r="Q47" s="14">
        <f t="shared" si="26"/>
        <v>0</v>
      </c>
      <c r="R47" s="11"/>
      <c r="S47" s="14">
        <f t="shared" si="27"/>
        <v>0</v>
      </c>
      <c r="T47" s="11"/>
      <c r="U47" s="14">
        <f t="shared" si="28"/>
        <v>0</v>
      </c>
      <c r="V47" s="11"/>
      <c r="W47" s="14">
        <f t="shared" si="29"/>
        <v>0</v>
      </c>
      <c r="X47" s="11"/>
      <c r="Y47" s="19">
        <f t="shared" si="30"/>
        <v>0</v>
      </c>
      <c r="Z47" s="13"/>
      <c r="AA47" s="43">
        <v>622.16</v>
      </c>
      <c r="AB47" s="37">
        <v>400</v>
      </c>
      <c r="AC47" s="28">
        <f t="shared" si="17"/>
        <v>222.15999999999997</v>
      </c>
      <c r="AD47" s="31">
        <v>1.5553999999999999</v>
      </c>
      <c r="AE47" s="78">
        <v>650</v>
      </c>
      <c r="AF47" s="72"/>
    </row>
    <row r="48" spans="1:32">
      <c r="A48" s="48" t="s">
        <v>17</v>
      </c>
      <c r="B48" s="25"/>
      <c r="C48" s="14">
        <f t="shared" si="19"/>
        <v>0</v>
      </c>
      <c r="D48" s="27">
        <f>378.32</f>
        <v>378.32</v>
      </c>
      <c r="E48" s="14">
        <f t="shared" si="20"/>
        <v>7.5663999999999995E-2</v>
      </c>
      <c r="F48" s="25"/>
      <c r="G48" s="14">
        <f t="shared" si="21"/>
        <v>0</v>
      </c>
      <c r="H48" s="25"/>
      <c r="I48" s="14">
        <f t="shared" si="22"/>
        <v>0</v>
      </c>
      <c r="J48" s="25"/>
      <c r="K48" s="14">
        <f t="shared" si="23"/>
        <v>0</v>
      </c>
      <c r="L48" s="36">
        <f>500</f>
        <v>500</v>
      </c>
      <c r="M48" s="14">
        <f t="shared" si="24"/>
        <v>0.1</v>
      </c>
      <c r="N48" s="45"/>
      <c r="O48" s="14">
        <f t="shared" si="25"/>
        <v>0</v>
      </c>
      <c r="P48" s="11"/>
      <c r="Q48" s="14">
        <f t="shared" si="26"/>
        <v>0</v>
      </c>
      <c r="R48" s="11"/>
      <c r="S48" s="14">
        <f t="shared" si="27"/>
        <v>0</v>
      </c>
      <c r="T48" s="11"/>
      <c r="U48" s="14">
        <f t="shared" si="28"/>
        <v>0</v>
      </c>
      <c r="V48" s="11"/>
      <c r="W48" s="14">
        <f t="shared" si="29"/>
        <v>0</v>
      </c>
      <c r="X48" s="11"/>
      <c r="Y48" s="19">
        <f t="shared" si="30"/>
        <v>0</v>
      </c>
      <c r="Z48" s="13"/>
      <c r="AA48" s="43">
        <v>9048.9599999999991</v>
      </c>
      <c r="AB48" s="37">
        <v>5000</v>
      </c>
      <c r="AC48" s="28">
        <f t="shared" si="17"/>
        <v>4048.9599999999991</v>
      </c>
      <c r="AD48" s="31">
        <f t="shared" si="18"/>
        <v>1.8097919999999998</v>
      </c>
      <c r="AE48" s="78">
        <v>10000</v>
      </c>
      <c r="AF48" s="72"/>
    </row>
    <row r="49" spans="1:32">
      <c r="A49" s="48" t="s">
        <v>18</v>
      </c>
      <c r="B49" s="25"/>
      <c r="C49" s="14">
        <f t="shared" si="19"/>
        <v>0</v>
      </c>
      <c r="D49" s="27">
        <f>2331</f>
        <v>2331</v>
      </c>
      <c r="E49" s="14">
        <f t="shared" si="20"/>
        <v>0.64749999999999996</v>
      </c>
      <c r="F49" s="27">
        <f>-1074.52</f>
        <v>-1074.52</v>
      </c>
      <c r="G49" s="14">
        <f t="shared" si="21"/>
        <v>-0.29847777777777779</v>
      </c>
      <c r="H49" s="25"/>
      <c r="I49" s="14">
        <f t="shared" si="22"/>
        <v>0</v>
      </c>
      <c r="J49" s="25"/>
      <c r="K49" s="14">
        <f t="shared" si="23"/>
        <v>0</v>
      </c>
      <c r="L49" s="36">
        <f>1679</f>
        <v>1679</v>
      </c>
      <c r="M49" s="14">
        <f t="shared" si="24"/>
        <v>0.46638888888888891</v>
      </c>
      <c r="N49" s="45"/>
      <c r="O49" s="14">
        <f t="shared" si="25"/>
        <v>0</v>
      </c>
      <c r="P49" s="11"/>
      <c r="Q49" s="14">
        <f t="shared" si="26"/>
        <v>0</v>
      </c>
      <c r="R49" s="11"/>
      <c r="S49" s="14">
        <f t="shared" si="27"/>
        <v>0</v>
      </c>
      <c r="T49" s="11"/>
      <c r="U49" s="14">
        <f t="shared" si="28"/>
        <v>0</v>
      </c>
      <c r="V49" s="11"/>
      <c r="W49" s="14">
        <f t="shared" si="29"/>
        <v>0</v>
      </c>
      <c r="X49" s="11"/>
      <c r="Y49" s="19">
        <f t="shared" si="30"/>
        <v>0</v>
      </c>
      <c r="Z49" s="13"/>
      <c r="AA49" s="43">
        <v>741.76</v>
      </c>
      <c r="AB49" s="37">
        <v>3600</v>
      </c>
      <c r="AC49" s="28">
        <f t="shared" si="17"/>
        <v>-2858.24</v>
      </c>
      <c r="AD49" s="31">
        <f t="shared" si="18"/>
        <v>0.20604444444444445</v>
      </c>
      <c r="AE49" s="78">
        <v>1000</v>
      </c>
      <c r="AF49" s="72"/>
    </row>
    <row r="50" spans="1:32">
      <c r="A50" s="48" t="s">
        <v>19</v>
      </c>
      <c r="B50" s="27">
        <f>827.92</f>
        <v>827.92</v>
      </c>
      <c r="C50" s="14">
        <f t="shared" si="19"/>
        <v>5.1423602484472045E-2</v>
      </c>
      <c r="D50" s="27">
        <f>15007.62</f>
        <v>15007.62</v>
      </c>
      <c r="E50" s="14">
        <f t="shared" si="20"/>
        <v>0.93215031055900621</v>
      </c>
      <c r="F50" s="27">
        <f>236.39</f>
        <v>236.39</v>
      </c>
      <c r="G50" s="14">
        <f t="shared" si="21"/>
        <v>1.4682608695652173E-2</v>
      </c>
      <c r="H50" s="25"/>
      <c r="I50" s="14">
        <f t="shared" si="22"/>
        <v>0</v>
      </c>
      <c r="J50" s="25"/>
      <c r="K50" s="14">
        <f t="shared" si="23"/>
        <v>0</v>
      </c>
      <c r="L50" s="34"/>
      <c r="M50" s="14">
        <f t="shared" si="24"/>
        <v>0</v>
      </c>
      <c r="N50" s="45"/>
      <c r="O50" s="14">
        <f t="shared" si="25"/>
        <v>0</v>
      </c>
      <c r="P50" s="11"/>
      <c r="Q50" s="14">
        <f t="shared" si="26"/>
        <v>0</v>
      </c>
      <c r="R50" s="11"/>
      <c r="S50" s="14">
        <f t="shared" si="27"/>
        <v>0</v>
      </c>
      <c r="T50" s="11"/>
      <c r="U50" s="14">
        <f t="shared" si="28"/>
        <v>0</v>
      </c>
      <c r="V50" s="11"/>
      <c r="W50" s="14">
        <f t="shared" si="29"/>
        <v>0</v>
      </c>
      <c r="X50" s="11"/>
      <c r="Y50" s="19">
        <f t="shared" si="30"/>
        <v>0</v>
      </c>
      <c r="Z50" s="13"/>
      <c r="AA50" s="43">
        <v>17461.61</v>
      </c>
      <c r="AB50" s="37">
        <v>16100</v>
      </c>
      <c r="AC50" s="28">
        <f t="shared" si="17"/>
        <v>1361.6100000000006</v>
      </c>
      <c r="AD50" s="31">
        <f t="shared" si="18"/>
        <v>1.0845720496894411</v>
      </c>
      <c r="AE50" s="78">
        <v>18000</v>
      </c>
      <c r="AF50" s="72" t="s">
        <v>177</v>
      </c>
    </row>
    <row r="51" spans="1:32">
      <c r="A51" s="48" t="s">
        <v>20</v>
      </c>
      <c r="B51" s="25"/>
      <c r="C51" s="14">
        <f t="shared" si="19"/>
        <v>0</v>
      </c>
      <c r="D51" s="25"/>
      <c r="E51" s="14">
        <f t="shared" si="20"/>
        <v>0</v>
      </c>
      <c r="F51" s="25"/>
      <c r="G51" s="14">
        <f t="shared" si="21"/>
        <v>0</v>
      </c>
      <c r="H51" s="25"/>
      <c r="I51" s="14">
        <f t="shared" si="22"/>
        <v>0</v>
      </c>
      <c r="J51" s="25"/>
      <c r="K51" s="14">
        <f t="shared" si="23"/>
        <v>0</v>
      </c>
      <c r="L51" s="34"/>
      <c r="M51" s="14">
        <f t="shared" si="24"/>
        <v>0</v>
      </c>
      <c r="N51" s="45"/>
      <c r="O51" s="14">
        <f t="shared" si="25"/>
        <v>0</v>
      </c>
      <c r="P51" s="11"/>
      <c r="Q51" s="14">
        <f t="shared" si="26"/>
        <v>0</v>
      </c>
      <c r="R51" s="11"/>
      <c r="S51" s="14">
        <f t="shared" si="27"/>
        <v>0</v>
      </c>
      <c r="T51" s="11"/>
      <c r="U51" s="14">
        <f t="shared" si="28"/>
        <v>0</v>
      </c>
      <c r="V51" s="11"/>
      <c r="W51" s="14">
        <f t="shared" si="29"/>
        <v>0</v>
      </c>
      <c r="X51" s="11"/>
      <c r="Y51" s="19">
        <f t="shared" si="30"/>
        <v>0</v>
      </c>
      <c r="Z51" s="13"/>
      <c r="AA51" s="43">
        <f t="shared" si="2"/>
        <v>0</v>
      </c>
      <c r="AB51" s="37">
        <v>100</v>
      </c>
      <c r="AC51" s="28">
        <f t="shared" si="17"/>
        <v>-100</v>
      </c>
      <c r="AD51" s="31">
        <f t="shared" si="18"/>
        <v>0</v>
      </c>
      <c r="AE51" s="78">
        <v>0</v>
      </c>
      <c r="AF51" s="72" t="s">
        <v>213</v>
      </c>
    </row>
    <row r="52" spans="1:32">
      <c r="A52" s="48" t="s">
        <v>21</v>
      </c>
      <c r="B52" s="27">
        <f>100</f>
        <v>100</v>
      </c>
      <c r="C52" s="14">
        <f t="shared" si="19"/>
        <v>8.3333333333333329E-2</v>
      </c>
      <c r="D52" s="27">
        <f>200</f>
        <v>200</v>
      </c>
      <c r="E52" s="14">
        <f t="shared" si="20"/>
        <v>0.16666666666666666</v>
      </c>
      <c r="F52" s="25"/>
      <c r="G52" s="14">
        <f t="shared" si="21"/>
        <v>0</v>
      </c>
      <c r="H52" s="27">
        <f>100</f>
        <v>100</v>
      </c>
      <c r="I52" s="14">
        <f t="shared" si="22"/>
        <v>8.3333333333333329E-2</v>
      </c>
      <c r="J52" s="27">
        <f>100</f>
        <v>100</v>
      </c>
      <c r="K52" s="14">
        <f t="shared" si="23"/>
        <v>8.3333333333333329E-2</v>
      </c>
      <c r="L52" s="36">
        <f>200</f>
        <v>200</v>
      </c>
      <c r="M52" s="14">
        <f t="shared" si="24"/>
        <v>0.16666666666666666</v>
      </c>
      <c r="N52" s="45">
        <v>100</v>
      </c>
      <c r="O52" s="14">
        <f t="shared" si="25"/>
        <v>8.3333333333333329E-2</v>
      </c>
      <c r="P52" s="11"/>
      <c r="Q52" s="14">
        <f t="shared" si="26"/>
        <v>0</v>
      </c>
      <c r="R52" s="11"/>
      <c r="S52" s="14">
        <f t="shared" si="27"/>
        <v>0</v>
      </c>
      <c r="T52" s="11"/>
      <c r="U52" s="14">
        <f t="shared" si="28"/>
        <v>0</v>
      </c>
      <c r="V52" s="11"/>
      <c r="W52" s="14">
        <f t="shared" si="29"/>
        <v>0</v>
      </c>
      <c r="X52" s="11"/>
      <c r="Y52" s="19">
        <f t="shared" si="30"/>
        <v>0</v>
      </c>
      <c r="Z52" s="13"/>
      <c r="AA52" s="43">
        <v>1300</v>
      </c>
      <c r="AB52" s="37">
        <v>1200</v>
      </c>
      <c r="AC52" s="28">
        <f t="shared" si="17"/>
        <v>100</v>
      </c>
      <c r="AD52" s="31">
        <f t="shared" si="18"/>
        <v>1.0833333333333333</v>
      </c>
      <c r="AE52" s="78">
        <v>1300</v>
      </c>
      <c r="AF52" s="72"/>
    </row>
    <row r="53" spans="1:32">
      <c r="A53" s="48" t="s">
        <v>22</v>
      </c>
      <c r="B53" s="27">
        <f>396.36</f>
        <v>396.36</v>
      </c>
      <c r="C53" s="14">
        <f t="shared" si="19"/>
        <v>0.30489230769230768</v>
      </c>
      <c r="D53" s="27">
        <f>81.8</f>
        <v>81.8</v>
      </c>
      <c r="E53" s="14">
        <f t="shared" si="20"/>
        <v>6.2923076923076915E-2</v>
      </c>
      <c r="F53" s="27">
        <f>340.03</f>
        <v>340.03</v>
      </c>
      <c r="G53" s="14">
        <f t="shared" si="21"/>
        <v>0.26156153846153846</v>
      </c>
      <c r="H53" s="27">
        <f>42.84</f>
        <v>42.84</v>
      </c>
      <c r="I53" s="14">
        <f t="shared" si="22"/>
        <v>3.2953846153846153E-2</v>
      </c>
      <c r="J53" s="27">
        <f>176.44</f>
        <v>176.44</v>
      </c>
      <c r="K53" s="14">
        <f t="shared" si="23"/>
        <v>0.13572307692307692</v>
      </c>
      <c r="L53" s="36">
        <f>157.35</f>
        <v>157.35</v>
      </c>
      <c r="M53" s="14">
        <f t="shared" si="24"/>
        <v>0.12103846153846154</v>
      </c>
      <c r="N53" s="45">
        <v>54.67</v>
      </c>
      <c r="O53" s="14">
        <f t="shared" si="25"/>
        <v>4.2053846153846157E-2</v>
      </c>
      <c r="P53" s="11"/>
      <c r="Q53" s="14">
        <f t="shared" si="26"/>
        <v>0</v>
      </c>
      <c r="R53" s="11"/>
      <c r="S53" s="14">
        <f t="shared" si="27"/>
        <v>0</v>
      </c>
      <c r="T53" s="11"/>
      <c r="U53" s="14">
        <f t="shared" si="28"/>
        <v>0</v>
      </c>
      <c r="V53" s="11"/>
      <c r="W53" s="14">
        <f t="shared" si="29"/>
        <v>0</v>
      </c>
      <c r="X53" s="11"/>
      <c r="Y53" s="19">
        <f t="shared" si="30"/>
        <v>0</v>
      </c>
      <c r="Z53" s="13"/>
      <c r="AA53" s="43">
        <v>1528</v>
      </c>
      <c r="AB53" s="37">
        <v>1300</v>
      </c>
      <c r="AC53" s="28">
        <f t="shared" si="17"/>
        <v>228</v>
      </c>
      <c r="AD53" s="31">
        <f t="shared" si="18"/>
        <v>1.1753846153846155</v>
      </c>
      <c r="AE53" s="78">
        <v>1600</v>
      </c>
      <c r="AF53" s="72" t="s">
        <v>177</v>
      </c>
    </row>
    <row r="54" spans="1:32">
      <c r="A54" s="48" t="s">
        <v>23</v>
      </c>
      <c r="B54" s="27">
        <f>214</f>
        <v>214</v>
      </c>
      <c r="C54" s="14">
        <f t="shared" si="19"/>
        <v>0.53500000000000003</v>
      </c>
      <c r="D54" s="27">
        <f>29.8</f>
        <v>29.8</v>
      </c>
      <c r="E54" s="14">
        <f t="shared" si="20"/>
        <v>7.4499999999999997E-2</v>
      </c>
      <c r="F54" s="27">
        <f>24.02</f>
        <v>24.02</v>
      </c>
      <c r="G54" s="14">
        <f t="shared" si="21"/>
        <v>6.0049999999999999E-2</v>
      </c>
      <c r="H54" s="27">
        <f>50</f>
        <v>50</v>
      </c>
      <c r="I54" s="14">
        <f t="shared" si="22"/>
        <v>0.125</v>
      </c>
      <c r="J54" s="27">
        <f>11.5</f>
        <v>11.5</v>
      </c>
      <c r="K54" s="14">
        <f t="shared" si="23"/>
        <v>2.8750000000000001E-2</v>
      </c>
      <c r="L54" s="36">
        <f>118.97</f>
        <v>118.97</v>
      </c>
      <c r="M54" s="14">
        <f t="shared" si="24"/>
        <v>0.29742499999999999</v>
      </c>
      <c r="N54" s="45"/>
      <c r="O54" s="14">
        <f t="shared" si="25"/>
        <v>0</v>
      </c>
      <c r="P54" s="11"/>
      <c r="Q54" s="14">
        <f t="shared" si="26"/>
        <v>0</v>
      </c>
      <c r="R54" s="11"/>
      <c r="S54" s="14">
        <f t="shared" si="27"/>
        <v>0</v>
      </c>
      <c r="T54" s="11"/>
      <c r="U54" s="14">
        <f t="shared" si="28"/>
        <v>0</v>
      </c>
      <c r="V54" s="11"/>
      <c r="W54" s="14">
        <f t="shared" si="29"/>
        <v>0</v>
      </c>
      <c r="X54" s="11"/>
      <c r="Y54" s="19">
        <f t="shared" si="30"/>
        <v>0</v>
      </c>
      <c r="Z54" s="13"/>
      <c r="AA54" s="43">
        <v>660</v>
      </c>
      <c r="AB54" s="37">
        <v>400</v>
      </c>
      <c r="AC54" s="28">
        <f t="shared" si="17"/>
        <v>260</v>
      </c>
      <c r="AD54" s="31">
        <f t="shared" si="18"/>
        <v>1.65</v>
      </c>
      <c r="AE54" s="78">
        <v>700</v>
      </c>
      <c r="AF54" s="72" t="s">
        <v>177</v>
      </c>
    </row>
    <row r="55" spans="1:32">
      <c r="A55" s="48" t="s">
        <v>24</v>
      </c>
      <c r="B55" s="25"/>
      <c r="C55" s="14">
        <f t="shared" si="19"/>
        <v>0</v>
      </c>
      <c r="D55" s="27">
        <f>20</f>
        <v>20</v>
      </c>
      <c r="E55" s="14">
        <f t="shared" si="20"/>
        <v>0.4</v>
      </c>
      <c r="F55" s="25"/>
      <c r="G55" s="14">
        <f t="shared" si="21"/>
        <v>0</v>
      </c>
      <c r="H55" s="25"/>
      <c r="I55" s="14">
        <f t="shared" si="22"/>
        <v>0</v>
      </c>
      <c r="J55" s="25"/>
      <c r="K55" s="14">
        <f t="shared" si="23"/>
        <v>0</v>
      </c>
      <c r="L55" s="34"/>
      <c r="M55" s="14">
        <f t="shared" si="24"/>
        <v>0</v>
      </c>
      <c r="N55" s="45"/>
      <c r="O55" s="14">
        <f t="shared" si="25"/>
        <v>0</v>
      </c>
      <c r="P55" s="11"/>
      <c r="Q55" s="14">
        <f t="shared" si="26"/>
        <v>0</v>
      </c>
      <c r="R55" s="11"/>
      <c r="S55" s="14">
        <f t="shared" si="27"/>
        <v>0</v>
      </c>
      <c r="T55" s="11"/>
      <c r="U55" s="14">
        <f t="shared" si="28"/>
        <v>0</v>
      </c>
      <c r="V55" s="11"/>
      <c r="W55" s="14">
        <f t="shared" si="29"/>
        <v>0</v>
      </c>
      <c r="X55" s="11"/>
      <c r="Y55" s="19">
        <f t="shared" si="30"/>
        <v>0</v>
      </c>
      <c r="Z55" s="13"/>
      <c r="AA55" s="43">
        <f t="shared" si="2"/>
        <v>20</v>
      </c>
      <c r="AB55" s="37">
        <v>50</v>
      </c>
      <c r="AC55" s="28">
        <f t="shared" si="17"/>
        <v>-30</v>
      </c>
      <c r="AD55" s="31">
        <f t="shared" si="18"/>
        <v>0.4</v>
      </c>
      <c r="AE55" s="78">
        <v>20</v>
      </c>
      <c r="AF55" s="72"/>
    </row>
    <row r="56" spans="1:32">
      <c r="A56" s="1" t="s">
        <v>25</v>
      </c>
      <c r="B56" s="27">
        <f>175</f>
        <v>175</v>
      </c>
      <c r="C56" s="14">
        <f t="shared" si="19"/>
        <v>8.3333333333333329E-2</v>
      </c>
      <c r="D56" s="27">
        <f>350</f>
        <v>350</v>
      </c>
      <c r="E56" s="14">
        <f t="shared" si="20"/>
        <v>0.16666666666666666</v>
      </c>
      <c r="F56" s="25"/>
      <c r="G56" s="14">
        <f t="shared" si="21"/>
        <v>0</v>
      </c>
      <c r="H56" s="27">
        <f>175</f>
        <v>175</v>
      </c>
      <c r="I56" s="14">
        <f t="shared" si="22"/>
        <v>8.3333333333333329E-2</v>
      </c>
      <c r="J56" s="27">
        <f>175</f>
        <v>175</v>
      </c>
      <c r="K56" s="14">
        <f t="shared" si="23"/>
        <v>8.3333333333333329E-2</v>
      </c>
      <c r="L56" s="36">
        <f>350</f>
        <v>350</v>
      </c>
      <c r="M56" s="14">
        <f t="shared" si="24"/>
        <v>0.16666666666666666</v>
      </c>
      <c r="N56" s="45">
        <v>175</v>
      </c>
      <c r="O56" s="14">
        <f t="shared" si="25"/>
        <v>8.3333333333333329E-2</v>
      </c>
      <c r="P56" s="11"/>
      <c r="Q56" s="14">
        <f t="shared" si="26"/>
        <v>0</v>
      </c>
      <c r="R56" s="11"/>
      <c r="S56" s="14">
        <f t="shared" si="27"/>
        <v>0</v>
      </c>
      <c r="T56" s="11"/>
      <c r="U56" s="14">
        <f t="shared" si="28"/>
        <v>0</v>
      </c>
      <c r="V56" s="11"/>
      <c r="W56" s="14">
        <f t="shared" si="29"/>
        <v>0</v>
      </c>
      <c r="X56" s="11"/>
      <c r="Y56" s="19">
        <f t="shared" si="30"/>
        <v>0</v>
      </c>
      <c r="Z56" s="13"/>
      <c r="AA56" s="43">
        <v>2275</v>
      </c>
      <c r="AB56" s="37">
        <v>2100</v>
      </c>
      <c r="AC56" s="28">
        <f t="shared" si="17"/>
        <v>175</v>
      </c>
      <c r="AD56" s="31">
        <f t="shared" si="18"/>
        <v>1.0833333333333333</v>
      </c>
      <c r="AE56" s="78">
        <v>2100</v>
      </c>
      <c r="AF56" s="72"/>
    </row>
    <row r="57" spans="1:32">
      <c r="A57" s="48" t="s">
        <v>26</v>
      </c>
      <c r="B57" s="27">
        <f>187.12</f>
        <v>187.12</v>
      </c>
      <c r="C57" s="14">
        <f t="shared" si="19"/>
        <v>6.2373333333333336E-2</v>
      </c>
      <c r="D57" s="27">
        <f>369.64</f>
        <v>369.64</v>
      </c>
      <c r="E57" s="14">
        <f t="shared" si="20"/>
        <v>0.12321333333333333</v>
      </c>
      <c r="F57" s="27">
        <f>271.99</f>
        <v>271.99</v>
      </c>
      <c r="G57" s="14">
        <f t="shared" si="21"/>
        <v>9.0663333333333332E-2</v>
      </c>
      <c r="H57" s="27">
        <f>287.8</f>
        <v>287.8</v>
      </c>
      <c r="I57" s="14">
        <f t="shared" si="22"/>
        <v>9.5933333333333343E-2</v>
      </c>
      <c r="J57" s="27">
        <f>287.08</f>
        <v>287.08</v>
      </c>
      <c r="K57" s="14">
        <f t="shared" si="23"/>
        <v>9.5693333333333325E-2</v>
      </c>
      <c r="L57" s="36">
        <f>449.28</f>
        <v>449.28</v>
      </c>
      <c r="M57" s="14">
        <f t="shared" si="24"/>
        <v>0.14976</v>
      </c>
      <c r="N57" s="45">
        <v>425.18</v>
      </c>
      <c r="O57" s="14">
        <f t="shared" si="25"/>
        <v>0.14172666666666667</v>
      </c>
      <c r="P57" s="11"/>
      <c r="Q57" s="14">
        <f t="shared" si="26"/>
        <v>0</v>
      </c>
      <c r="R57" s="11"/>
      <c r="S57" s="14">
        <f t="shared" si="27"/>
        <v>0</v>
      </c>
      <c r="T57" s="11"/>
      <c r="U57" s="14">
        <f t="shared" si="28"/>
        <v>0</v>
      </c>
      <c r="V57" s="11"/>
      <c r="W57" s="14">
        <f t="shared" si="29"/>
        <v>0</v>
      </c>
      <c r="X57" s="11"/>
      <c r="Y57" s="19">
        <f t="shared" si="30"/>
        <v>0</v>
      </c>
      <c r="Z57" s="13"/>
      <c r="AA57" s="43">
        <v>3960</v>
      </c>
      <c r="AB57" s="37">
        <v>3000</v>
      </c>
      <c r="AC57" s="28">
        <f t="shared" si="17"/>
        <v>960</v>
      </c>
      <c r="AD57" s="31">
        <f t="shared" si="18"/>
        <v>1.32</v>
      </c>
      <c r="AE57" s="78">
        <v>4000</v>
      </c>
      <c r="AF57" s="72"/>
    </row>
    <row r="58" spans="1:32">
      <c r="A58" s="1" t="s">
        <v>27</v>
      </c>
      <c r="B58" s="27">
        <f>4125.07</f>
        <v>4125.07</v>
      </c>
      <c r="C58" s="14">
        <f t="shared" si="19"/>
        <v>0.15278037037037037</v>
      </c>
      <c r="D58" s="27">
        <f>4125.07</f>
        <v>4125.07</v>
      </c>
      <c r="E58" s="14">
        <f t="shared" si="20"/>
        <v>0.15278037037037037</v>
      </c>
      <c r="F58" s="27">
        <f>3375</f>
        <v>3375</v>
      </c>
      <c r="G58" s="14">
        <f t="shared" si="21"/>
        <v>0.125</v>
      </c>
      <c r="H58" s="27">
        <f>1125</f>
        <v>1125</v>
      </c>
      <c r="I58" s="14">
        <f t="shared" si="22"/>
        <v>4.1666666666666664E-2</v>
      </c>
      <c r="J58" s="27">
        <f>2250</f>
        <v>2250</v>
      </c>
      <c r="K58" s="14">
        <f t="shared" si="23"/>
        <v>8.3333333333333329E-2</v>
      </c>
      <c r="L58" s="36">
        <f>3375</f>
        <v>3375</v>
      </c>
      <c r="M58" s="14">
        <f t="shared" si="24"/>
        <v>0.125</v>
      </c>
      <c r="N58" s="45">
        <v>1125</v>
      </c>
      <c r="O58" s="14">
        <f t="shared" si="25"/>
        <v>4.1666666666666664E-2</v>
      </c>
      <c r="P58" s="11"/>
      <c r="Q58" s="14">
        <f t="shared" si="26"/>
        <v>0</v>
      </c>
      <c r="R58" s="11"/>
      <c r="S58" s="14">
        <f t="shared" si="27"/>
        <v>0</v>
      </c>
      <c r="T58" s="11"/>
      <c r="U58" s="14">
        <f t="shared" si="28"/>
        <v>0</v>
      </c>
      <c r="V58" s="11"/>
      <c r="W58" s="14">
        <f t="shared" si="29"/>
        <v>0</v>
      </c>
      <c r="X58" s="11"/>
      <c r="Y58" s="19">
        <f t="shared" si="30"/>
        <v>0</v>
      </c>
      <c r="Z58" s="13"/>
      <c r="AA58" s="43">
        <v>30750</v>
      </c>
      <c r="AB58" s="37">
        <v>27000</v>
      </c>
      <c r="AC58" s="28">
        <f t="shared" si="17"/>
        <v>3750</v>
      </c>
      <c r="AD58" s="31">
        <f t="shared" si="18"/>
        <v>1.1388888888888888</v>
      </c>
      <c r="AE58" s="78">
        <v>27000</v>
      </c>
      <c r="AF58" s="72"/>
    </row>
    <row r="59" spans="1:32">
      <c r="A59" s="1" t="s">
        <v>28</v>
      </c>
      <c r="B59" s="27">
        <f>3041.66</f>
        <v>3041.66</v>
      </c>
      <c r="C59" s="14">
        <f t="shared" si="19"/>
        <v>8.3333150684931509E-2</v>
      </c>
      <c r="D59" s="27">
        <f>3666.66</f>
        <v>3666.66</v>
      </c>
      <c r="E59" s="14">
        <f t="shared" si="20"/>
        <v>0.10045643835616438</v>
      </c>
      <c r="F59" s="27">
        <f>3937.49</f>
        <v>3937.49</v>
      </c>
      <c r="G59" s="14">
        <f t="shared" si="21"/>
        <v>0.10787643835616438</v>
      </c>
      <c r="H59" s="27">
        <f>2145.83</f>
        <v>2145.83</v>
      </c>
      <c r="I59" s="14">
        <f t="shared" si="22"/>
        <v>5.878986301369863E-2</v>
      </c>
      <c r="J59" s="27">
        <f>3041.66</f>
        <v>3041.66</v>
      </c>
      <c r="K59" s="14">
        <f t="shared" si="23"/>
        <v>8.3333150684931509E-2</v>
      </c>
      <c r="L59" s="36">
        <f>3937.49</f>
        <v>3937.49</v>
      </c>
      <c r="M59" s="14">
        <f t="shared" si="24"/>
        <v>0.10787643835616438</v>
      </c>
      <c r="N59" s="45">
        <v>1520.83</v>
      </c>
      <c r="O59" s="14">
        <f t="shared" si="25"/>
        <v>4.1666575342465755E-2</v>
      </c>
      <c r="P59" s="11"/>
      <c r="Q59" s="14">
        <f t="shared" si="26"/>
        <v>0</v>
      </c>
      <c r="R59" s="11"/>
      <c r="S59" s="14">
        <f t="shared" si="27"/>
        <v>0</v>
      </c>
      <c r="T59" s="11"/>
      <c r="U59" s="14">
        <f t="shared" si="28"/>
        <v>0</v>
      </c>
      <c r="V59" s="11"/>
      <c r="W59" s="14">
        <f t="shared" si="29"/>
        <v>0</v>
      </c>
      <c r="X59" s="11"/>
      <c r="Y59" s="19">
        <f t="shared" si="30"/>
        <v>0</v>
      </c>
      <c r="Z59" s="13"/>
      <c r="AA59" s="43">
        <v>37395</v>
      </c>
      <c r="AB59" s="37">
        <v>36500</v>
      </c>
      <c r="AC59" s="28">
        <f t="shared" si="17"/>
        <v>895</v>
      </c>
      <c r="AD59" s="31">
        <f t="shared" si="18"/>
        <v>1.0245205479452055</v>
      </c>
      <c r="AE59" s="78">
        <v>36500</v>
      </c>
      <c r="AF59" s="72"/>
    </row>
    <row r="60" spans="1:32">
      <c r="A60" s="48" t="s">
        <v>29</v>
      </c>
      <c r="B60" s="25"/>
      <c r="C60" s="14">
        <f t="shared" si="19"/>
        <v>0</v>
      </c>
      <c r="D60" s="27">
        <f>0</f>
        <v>0</v>
      </c>
      <c r="E60" s="14">
        <f t="shared" si="20"/>
        <v>0</v>
      </c>
      <c r="F60" s="27">
        <f>30</f>
        <v>30</v>
      </c>
      <c r="G60" s="14">
        <f t="shared" si="21"/>
        <v>0.3</v>
      </c>
      <c r="H60" s="25"/>
      <c r="I60" s="14">
        <f t="shared" si="22"/>
        <v>0</v>
      </c>
      <c r="J60" s="27">
        <f>51.07</f>
        <v>51.07</v>
      </c>
      <c r="K60" s="14">
        <f t="shared" si="23"/>
        <v>0.51070000000000004</v>
      </c>
      <c r="L60" s="36">
        <f>13</f>
        <v>13</v>
      </c>
      <c r="M60" s="14">
        <f t="shared" si="24"/>
        <v>0.13</v>
      </c>
      <c r="N60" s="45"/>
      <c r="O60" s="14">
        <f t="shared" si="25"/>
        <v>0</v>
      </c>
      <c r="P60" s="11"/>
      <c r="Q60" s="14">
        <f t="shared" si="26"/>
        <v>0</v>
      </c>
      <c r="R60" s="11"/>
      <c r="S60" s="14">
        <f t="shared" si="27"/>
        <v>0</v>
      </c>
      <c r="T60" s="11"/>
      <c r="U60" s="14">
        <f t="shared" si="28"/>
        <v>0</v>
      </c>
      <c r="V60" s="11"/>
      <c r="W60" s="14">
        <f t="shared" si="29"/>
        <v>0</v>
      </c>
      <c r="X60" s="11"/>
      <c r="Y60" s="19">
        <f t="shared" si="30"/>
        <v>0</v>
      </c>
      <c r="Z60" s="13"/>
      <c r="AA60" s="43">
        <v>115</v>
      </c>
      <c r="AB60" s="37">
        <v>100</v>
      </c>
      <c r="AC60" s="28">
        <f t="shared" si="17"/>
        <v>15</v>
      </c>
      <c r="AD60" s="31">
        <f t="shared" si="18"/>
        <v>1.1499999999999999</v>
      </c>
      <c r="AE60" s="78">
        <v>115</v>
      </c>
      <c r="AF60" s="72"/>
    </row>
    <row r="61" spans="1:32">
      <c r="A61" s="1" t="s">
        <v>30</v>
      </c>
      <c r="B61" s="26">
        <f>(((((((((((((((B44)+(B45))+(B47))+(B48))+(B49))+(B50))+(B51))+(B52))+(B53))+(B54))+(B55))+(B56))+(B57))+(B58))+(B59))+(B60)</f>
        <v>14067.13</v>
      </c>
      <c r="C61" s="14">
        <f t="shared" si="19"/>
        <v>8.9685240675804898E-2</v>
      </c>
      <c r="D61" s="26">
        <f>(((((((((((((((D44)+(D45))+(D47))+(D48))+(D49))+(D50))+(D51))+(D52))+(D53))+(D54))+(D55))+(D56))+(D57))+(D58))+(D59))+(D60)</f>
        <v>36870.229999999996</v>
      </c>
      <c r="E61" s="14">
        <f t="shared" si="20"/>
        <v>0.23506681542875357</v>
      </c>
      <c r="F61" s="26">
        <f>(((((((((((((((F44)+(F45))+(F47))+(F48))+(F49))+(F50))+(F51))+(F52))+(F53))+(F54))+(F55))+(F56))+(F57))+(F58))+(F59))+(F60)</f>
        <v>7140.4</v>
      </c>
      <c r="G61" s="14">
        <f t="shared" si="21"/>
        <v>4.5523748804590369E-2</v>
      </c>
      <c r="H61" s="26">
        <f>(((((((((((((((H44)+(H45))+(H47))+(H48))+(H49))+(H50))+(H51))+(H52))+(H53))+(H54))+(H55))+(H56))+(H57))+(H58))+(H59))+(H60)</f>
        <v>8961.59</v>
      </c>
      <c r="I61" s="14">
        <f t="shared" si="22"/>
        <v>5.7134778450749123E-2</v>
      </c>
      <c r="J61" s="26">
        <f>(((((((((((((((J44)+(J45))+(J47))+(J48))+(J49))+(J50))+(J51))+(J52))+(J53))+(J54))+(J55))+(J56))+(J57))+(J58))+(J59))+(J60)</f>
        <v>11092.75</v>
      </c>
      <c r="K61" s="14">
        <f t="shared" si="23"/>
        <v>7.072202741472744E-2</v>
      </c>
      <c r="L61" s="35">
        <f>(((((((((((((((L44)+(L45))+(L47))+(L48))+(L49))+(L50))+(L51))+(L52))+(L53))+(L54))+(L55))+(L56))+(L57))+(L58))+(L59))+(L60)</f>
        <v>20780.089999999997</v>
      </c>
      <c r="M61" s="14">
        <f t="shared" si="24"/>
        <v>0.1324838380618425</v>
      </c>
      <c r="N61" s="45">
        <v>8400.68</v>
      </c>
      <c r="O61" s="14">
        <f t="shared" si="25"/>
        <v>5.355868664328977E-2</v>
      </c>
      <c r="P61" s="11"/>
      <c r="Q61" s="14">
        <f t="shared" si="26"/>
        <v>0</v>
      </c>
      <c r="R61" s="11"/>
      <c r="S61" s="14">
        <f t="shared" si="27"/>
        <v>0</v>
      </c>
      <c r="T61" s="11"/>
      <c r="U61" s="14">
        <f t="shared" si="28"/>
        <v>0</v>
      </c>
      <c r="V61" s="11"/>
      <c r="W61" s="14">
        <f t="shared" si="29"/>
        <v>0</v>
      </c>
      <c r="X61" s="11"/>
      <c r="Y61" s="19">
        <f t="shared" si="30"/>
        <v>0</v>
      </c>
      <c r="Z61" s="13"/>
      <c r="AA61" s="41">
        <v>171330</v>
      </c>
      <c r="AB61" s="38">
        <f>(((((((((((((((AB44)+(AB45))+(AB47))+(AB48))+(AB49))+(AB50))+(AB51))+(AB52))+(AB53))+(AB54))+(AB55))+(AB56))+(AB57))+(AB58))+(AB59))+(AB60)</f>
        <v>156850</v>
      </c>
      <c r="AC61" s="29">
        <f t="shared" si="17"/>
        <v>14480</v>
      </c>
      <c r="AD61" s="32">
        <f t="shared" si="18"/>
        <v>1.0923175007969397</v>
      </c>
      <c r="AE61" s="79">
        <f>(((((((((((((((AE44)+(AE45))+(AE47))+(AE48))+(AE49))+(AE50))+(AE51))+(AE52))+(AE53))+(AE54))+(AE55))+(AE56))+(AE57))+(AE58))+(AE59))+(AE60)</f>
        <v>168985</v>
      </c>
      <c r="AF61" s="72"/>
    </row>
    <row r="62" spans="1:32">
      <c r="A62" s="1" t="s">
        <v>31</v>
      </c>
      <c r="B62" s="25"/>
      <c r="C62" s="14"/>
      <c r="D62" s="25"/>
      <c r="E62" s="14"/>
      <c r="F62" s="25"/>
      <c r="G62" s="14"/>
      <c r="H62" s="25"/>
      <c r="I62" s="14"/>
      <c r="J62" s="25"/>
      <c r="K62" s="14"/>
      <c r="L62" s="34"/>
      <c r="M62" s="14"/>
      <c r="N62" s="45"/>
      <c r="O62" s="14"/>
      <c r="P62" s="11"/>
      <c r="Q62" s="14"/>
      <c r="R62" s="11"/>
      <c r="S62" s="14"/>
      <c r="T62" s="11"/>
      <c r="U62" s="14"/>
      <c r="V62" s="11"/>
      <c r="W62" s="14"/>
      <c r="X62" s="11"/>
      <c r="Y62" s="19"/>
      <c r="Z62" s="13"/>
      <c r="AA62" s="42">
        <f t="shared" si="2"/>
        <v>0</v>
      </c>
      <c r="AB62" s="39"/>
      <c r="AC62" s="28">
        <f t="shared" si="17"/>
        <v>0</v>
      </c>
      <c r="AD62" s="31" t="str">
        <f t="shared" si="18"/>
        <v/>
      </c>
      <c r="AE62" s="80"/>
      <c r="AF62" s="72"/>
    </row>
    <row r="63" spans="1:32">
      <c r="A63" s="48" t="s">
        <v>225</v>
      </c>
      <c r="B63" s="25"/>
      <c r="C63" s="14">
        <f>B63/$AB63</f>
        <v>0</v>
      </c>
      <c r="D63" s="25"/>
      <c r="E63" s="14">
        <f>D63/$AB63</f>
        <v>0</v>
      </c>
      <c r="F63" s="25"/>
      <c r="G63" s="14">
        <f>F63/$AB63</f>
        <v>0</v>
      </c>
      <c r="H63" s="25"/>
      <c r="I63" s="14">
        <f>H63/$AB63</f>
        <v>0</v>
      </c>
      <c r="J63" s="25"/>
      <c r="K63" s="14">
        <f>J63/$AB63</f>
        <v>0</v>
      </c>
      <c r="L63" s="34"/>
      <c r="M63" s="14">
        <f>L63/$AB63</f>
        <v>0</v>
      </c>
      <c r="N63" s="45"/>
      <c r="O63" s="14">
        <f>N63/$AB63</f>
        <v>0</v>
      </c>
      <c r="P63" s="11"/>
      <c r="Q63" s="14">
        <f>P63/$AB63</f>
        <v>0</v>
      </c>
      <c r="R63" s="11"/>
      <c r="S63" s="14">
        <f>R63/$AB63</f>
        <v>0</v>
      </c>
      <c r="T63" s="11"/>
      <c r="U63" s="14">
        <f>T63/$AB63</f>
        <v>0</v>
      </c>
      <c r="V63" s="11"/>
      <c r="W63" s="14">
        <f>V63/$AB63</f>
        <v>0</v>
      </c>
      <c r="X63" s="11"/>
      <c r="Y63" s="19">
        <f>X63/$AB63</f>
        <v>0</v>
      </c>
      <c r="Z63" s="13"/>
      <c r="AA63" s="43">
        <v>835</v>
      </c>
      <c r="AB63" s="37">
        <v>500</v>
      </c>
      <c r="AC63" s="28">
        <f t="shared" si="17"/>
        <v>335</v>
      </c>
      <c r="AD63" s="31">
        <f t="shared" si="18"/>
        <v>1.67</v>
      </c>
      <c r="AE63" s="78">
        <v>850</v>
      </c>
      <c r="AF63" s="74" t="s">
        <v>214</v>
      </c>
    </row>
    <row r="64" spans="1:32">
      <c r="A64" s="48" t="s">
        <v>226</v>
      </c>
      <c r="B64" s="25"/>
      <c r="C64" s="14">
        <f>B64/$AB64</f>
        <v>0</v>
      </c>
      <c r="D64" s="25"/>
      <c r="E64" s="14">
        <f>D64/$AB64</f>
        <v>0</v>
      </c>
      <c r="F64" s="27">
        <f>1496.61</f>
        <v>1496.61</v>
      </c>
      <c r="G64" s="14">
        <f>F64/$AB64</f>
        <v>0.29932199999999998</v>
      </c>
      <c r="H64" s="27">
        <f>1500</f>
        <v>1500</v>
      </c>
      <c r="I64" s="14">
        <f>H64/$AB64</f>
        <v>0.3</v>
      </c>
      <c r="J64" s="27">
        <f>2055.34</f>
        <v>2055.34</v>
      </c>
      <c r="K64" s="14">
        <f>J64/$AB64</f>
        <v>0.41106800000000004</v>
      </c>
      <c r="L64" s="34"/>
      <c r="M64" s="14">
        <f>L64/$AB64</f>
        <v>0</v>
      </c>
      <c r="N64" s="45"/>
      <c r="O64" s="14">
        <f>N64/$AB64</f>
        <v>0</v>
      </c>
      <c r="P64" s="11"/>
      <c r="Q64" s="14">
        <f>P64/$AB64</f>
        <v>0</v>
      </c>
      <c r="R64" s="11"/>
      <c r="S64" s="14">
        <f>R64/$AB64</f>
        <v>0</v>
      </c>
      <c r="T64" s="11"/>
      <c r="U64" s="14">
        <f>T64/$AB64</f>
        <v>0</v>
      </c>
      <c r="V64" s="11"/>
      <c r="W64" s="14">
        <f>V64/$AB64</f>
        <v>0</v>
      </c>
      <c r="X64" s="11"/>
      <c r="Y64" s="19">
        <f>X64/$AB64</f>
        <v>0</v>
      </c>
      <c r="Z64" s="13"/>
      <c r="AA64" s="43">
        <v>6668</v>
      </c>
      <c r="AB64" s="37">
        <v>5000</v>
      </c>
      <c r="AC64" s="28">
        <f t="shared" si="17"/>
        <v>1668</v>
      </c>
      <c r="AD64" s="31">
        <f t="shared" si="18"/>
        <v>1.3335999999999999</v>
      </c>
      <c r="AE64" s="78">
        <v>10000</v>
      </c>
      <c r="AF64" s="74" t="s">
        <v>215</v>
      </c>
    </row>
    <row r="65" spans="1:32" s="7" customFormat="1">
      <c r="A65" s="1"/>
      <c r="B65" s="25"/>
      <c r="C65" s="14"/>
      <c r="D65" s="25"/>
      <c r="E65" s="14"/>
      <c r="F65" s="27"/>
      <c r="G65" s="14"/>
      <c r="H65" s="27"/>
      <c r="I65" s="14"/>
      <c r="J65" s="27"/>
      <c r="K65" s="14"/>
      <c r="L65" s="34"/>
      <c r="M65" s="14"/>
      <c r="N65" s="45"/>
      <c r="O65" s="14"/>
      <c r="P65" s="11"/>
      <c r="Q65" s="14"/>
      <c r="R65" s="11"/>
      <c r="S65" s="14"/>
      <c r="T65" s="11"/>
      <c r="U65" s="14"/>
      <c r="V65" s="11"/>
      <c r="W65" s="14"/>
      <c r="X65" s="11"/>
      <c r="Y65" s="19"/>
      <c r="Z65" s="13"/>
      <c r="AA65" s="43"/>
      <c r="AB65" s="37"/>
      <c r="AC65" s="28"/>
      <c r="AD65" s="31"/>
      <c r="AE65" s="78"/>
      <c r="AF65" s="74" t="s">
        <v>178</v>
      </c>
    </row>
    <row r="66" spans="1:32">
      <c r="A66" s="1" t="s">
        <v>34</v>
      </c>
      <c r="B66" s="25"/>
      <c r="C66" s="14">
        <f>B66/$AB66</f>
        <v>0</v>
      </c>
      <c r="D66" s="25"/>
      <c r="E66" s="14">
        <f>D66/$AB66</f>
        <v>0</v>
      </c>
      <c r="F66" s="25"/>
      <c r="G66" s="14">
        <f>F66/$AB66</f>
        <v>0</v>
      </c>
      <c r="H66" s="25"/>
      <c r="I66" s="14">
        <f>H66/$AB66</f>
        <v>0</v>
      </c>
      <c r="J66" s="25"/>
      <c r="K66" s="14">
        <f>J66/$AB66</f>
        <v>0</v>
      </c>
      <c r="L66" s="34"/>
      <c r="M66" s="14">
        <f>L66/$AB66</f>
        <v>0</v>
      </c>
      <c r="N66" s="45"/>
      <c r="O66" s="14">
        <f>N66/$AB66</f>
        <v>0</v>
      </c>
      <c r="P66" s="11"/>
      <c r="Q66" s="14">
        <f>P66/$AB66</f>
        <v>0</v>
      </c>
      <c r="R66" s="11"/>
      <c r="S66" s="14">
        <f>R66/$AB66</f>
        <v>0</v>
      </c>
      <c r="T66" s="11"/>
      <c r="U66" s="14">
        <f>T66/$AB66</f>
        <v>0</v>
      </c>
      <c r="V66" s="11"/>
      <c r="W66" s="14">
        <f>V66/$AB66</f>
        <v>0</v>
      </c>
      <c r="X66" s="11"/>
      <c r="Y66" s="19">
        <f>X66/$AB66</f>
        <v>0</v>
      </c>
      <c r="Z66" s="13"/>
      <c r="AA66" s="43">
        <v>1047</v>
      </c>
      <c r="AB66" s="37">
        <v>1000</v>
      </c>
      <c r="AC66" s="28">
        <f t="shared" si="17"/>
        <v>47</v>
      </c>
      <c r="AD66" s="31">
        <f t="shared" si="18"/>
        <v>1.0469999999999999</v>
      </c>
      <c r="AE66" s="78">
        <v>1000</v>
      </c>
      <c r="AF66" s="72"/>
    </row>
    <row r="67" spans="1:32">
      <c r="A67" s="1" t="s">
        <v>35</v>
      </c>
      <c r="B67" s="25"/>
      <c r="C67" s="14">
        <f>B67/$AB67</f>
        <v>0</v>
      </c>
      <c r="D67" s="25"/>
      <c r="E67" s="14">
        <f>D67/$AB67</f>
        <v>0</v>
      </c>
      <c r="F67" s="25"/>
      <c r="G67" s="14">
        <f>F67/$AB67</f>
        <v>0</v>
      </c>
      <c r="H67" s="25"/>
      <c r="I67" s="14">
        <f>H67/$AB67</f>
        <v>0</v>
      </c>
      <c r="J67" s="25"/>
      <c r="K67" s="14">
        <f>J67/$AB67</f>
        <v>0</v>
      </c>
      <c r="L67" s="34"/>
      <c r="M67" s="14">
        <f>L67/$AB67</f>
        <v>0</v>
      </c>
      <c r="N67" s="45"/>
      <c r="O67" s="14">
        <f>N67/$AB67</f>
        <v>0</v>
      </c>
      <c r="P67" s="11"/>
      <c r="Q67" s="14">
        <f>P67/$AB67</f>
        <v>0</v>
      </c>
      <c r="R67" s="11"/>
      <c r="S67" s="14">
        <f>R67/$AB67</f>
        <v>0</v>
      </c>
      <c r="T67" s="11"/>
      <c r="U67" s="14">
        <f>T67/$AB67</f>
        <v>0</v>
      </c>
      <c r="V67" s="11"/>
      <c r="W67" s="14">
        <f>V67/$AB67</f>
        <v>0</v>
      </c>
      <c r="X67" s="11"/>
      <c r="Y67" s="19">
        <f>X67/$AB67</f>
        <v>0</v>
      </c>
      <c r="Z67" s="13"/>
      <c r="AA67" s="43">
        <f t="shared" si="2"/>
        <v>0</v>
      </c>
      <c r="AB67" s="37">
        <v>250</v>
      </c>
      <c r="AC67" s="28">
        <f t="shared" si="17"/>
        <v>-250</v>
      </c>
      <c r="AD67" s="31">
        <f t="shared" si="18"/>
        <v>0</v>
      </c>
      <c r="AE67" s="78">
        <v>250</v>
      </c>
      <c r="AF67" s="72"/>
    </row>
    <row r="68" spans="1:32">
      <c r="A68" s="1" t="s">
        <v>36</v>
      </c>
      <c r="B68" s="26">
        <f>((((B62)+(B63))+(B64))+(B66))+(B67)</f>
        <v>0</v>
      </c>
      <c r="C68" s="14">
        <f>B68/$AB68</f>
        <v>0</v>
      </c>
      <c r="D68" s="26">
        <f>((((D62)+(D63))+(D64))+(D66))+(D67)</f>
        <v>0</v>
      </c>
      <c r="E68" s="14">
        <f>D68/$AB68</f>
        <v>0</v>
      </c>
      <c r="F68" s="26">
        <f>((((F62)+(F63))+(F64))+(F66))+(F67)</f>
        <v>1496.61</v>
      </c>
      <c r="G68" s="14">
        <f>F68/$AB68</f>
        <v>0.22171999999999997</v>
      </c>
      <c r="H68" s="26">
        <f>((((H62)+(H63))+(H64))+(H66))+(H67)</f>
        <v>1500</v>
      </c>
      <c r="I68" s="14">
        <f>H68/$AB68</f>
        <v>0.22222222222222221</v>
      </c>
      <c r="J68" s="26">
        <f>((((J62)+(J63))+(J64))+(J66))+(J67)</f>
        <v>2055.34</v>
      </c>
      <c r="K68" s="14">
        <f>J68/$AB68</f>
        <v>0.30449481481481483</v>
      </c>
      <c r="L68" s="35">
        <f>((((L62)+(L63))+(L64))+(L66))+(L67)</f>
        <v>0</v>
      </c>
      <c r="M68" s="14">
        <f>L68/$AB68</f>
        <v>0</v>
      </c>
      <c r="N68" s="45">
        <v>0</v>
      </c>
      <c r="O68" s="14">
        <f>N68/$AB68</f>
        <v>0</v>
      </c>
      <c r="P68" s="11"/>
      <c r="Q68" s="14">
        <f>P68/$AB68</f>
        <v>0</v>
      </c>
      <c r="R68" s="11"/>
      <c r="S68" s="14">
        <f>R68/$AB68</f>
        <v>0</v>
      </c>
      <c r="T68" s="11"/>
      <c r="U68" s="14">
        <f>T68/$AB68</f>
        <v>0</v>
      </c>
      <c r="V68" s="11"/>
      <c r="W68" s="14">
        <f>V68/$AB68</f>
        <v>0</v>
      </c>
      <c r="X68" s="11"/>
      <c r="Y68" s="19">
        <f>X68/$AB68</f>
        <v>0</v>
      </c>
      <c r="Z68" s="13"/>
      <c r="AA68" s="41">
        <v>8551</v>
      </c>
      <c r="AB68" s="38">
        <f>((((AB62)+(AB63))+(AB64))+(AB66))+(AB67)</f>
        <v>6750</v>
      </c>
      <c r="AC68" s="29">
        <f t="shared" si="17"/>
        <v>1801</v>
      </c>
      <c r="AD68" s="32">
        <f t="shared" si="18"/>
        <v>1.2668148148148148</v>
      </c>
      <c r="AE68" s="79">
        <f>((((AE62)+(AE63))+(AE64))+(AE66))+(AE67)</f>
        <v>12100</v>
      </c>
      <c r="AF68" s="72"/>
    </row>
    <row r="69" spans="1:32">
      <c r="A69" s="1" t="s">
        <v>138</v>
      </c>
      <c r="B69" s="25"/>
      <c r="C69" s="14"/>
      <c r="D69" s="25"/>
      <c r="E69" s="14"/>
      <c r="F69" s="25"/>
      <c r="G69" s="14"/>
      <c r="H69" s="25"/>
      <c r="I69" s="14"/>
      <c r="J69" s="25"/>
      <c r="K69" s="14"/>
      <c r="L69" s="34"/>
      <c r="M69" s="14"/>
      <c r="N69" s="45"/>
      <c r="O69" s="14"/>
      <c r="P69" s="11"/>
      <c r="Q69" s="14"/>
      <c r="R69" s="11"/>
      <c r="S69" s="14"/>
      <c r="T69" s="11"/>
      <c r="U69" s="14"/>
      <c r="V69" s="11"/>
      <c r="W69" s="14"/>
      <c r="X69" s="11"/>
      <c r="Y69" s="19"/>
      <c r="Z69" s="13"/>
      <c r="AA69" s="42">
        <f t="shared" si="2"/>
        <v>0</v>
      </c>
      <c r="AB69" s="39"/>
      <c r="AC69" s="28">
        <f t="shared" si="17"/>
        <v>0</v>
      </c>
      <c r="AD69" s="31" t="str">
        <f t="shared" si="18"/>
        <v/>
      </c>
      <c r="AE69" s="80"/>
      <c r="AF69" s="72"/>
    </row>
    <row r="70" spans="1:32">
      <c r="A70" s="1" t="s">
        <v>160</v>
      </c>
      <c r="B70" s="27">
        <f>8000</f>
        <v>8000</v>
      </c>
      <c r="C70" s="14">
        <f>B70/$AB70</f>
        <v>8.3333333333333329E-2</v>
      </c>
      <c r="D70" s="27">
        <f>16000</f>
        <v>16000</v>
      </c>
      <c r="E70" s="14">
        <f>D70/$AB70</f>
        <v>0.16666666666666666</v>
      </c>
      <c r="F70" s="27">
        <f>8000</f>
        <v>8000</v>
      </c>
      <c r="G70" s="14">
        <f>F70/$AB70</f>
        <v>8.3333333333333329E-2</v>
      </c>
      <c r="H70" s="25"/>
      <c r="I70" s="14">
        <f>H70/$AB70</f>
        <v>0</v>
      </c>
      <c r="J70" s="27">
        <f>8000</f>
        <v>8000</v>
      </c>
      <c r="K70" s="14">
        <f>J70/$AB70</f>
        <v>8.3333333333333329E-2</v>
      </c>
      <c r="L70" s="36">
        <f>16000</f>
        <v>16000</v>
      </c>
      <c r="M70" s="14">
        <f>L70/$AB70</f>
        <v>0.16666666666666666</v>
      </c>
      <c r="N70" s="45">
        <v>8000</v>
      </c>
      <c r="O70" s="14">
        <f>N70/$AB70</f>
        <v>8.3333333333333329E-2</v>
      </c>
      <c r="P70" s="11"/>
      <c r="Q70" s="14">
        <f>P70/$AB70</f>
        <v>0</v>
      </c>
      <c r="R70" s="11"/>
      <c r="S70" s="14">
        <f>R70/$AB70</f>
        <v>0</v>
      </c>
      <c r="T70" s="11"/>
      <c r="U70" s="14">
        <f>T70/$AB70</f>
        <v>0</v>
      </c>
      <c r="V70" s="11"/>
      <c r="W70" s="14">
        <f>V70/$AB70</f>
        <v>0</v>
      </c>
      <c r="X70" s="11"/>
      <c r="Y70" s="19">
        <f>X70/$AB70</f>
        <v>0</v>
      </c>
      <c r="Z70" s="13"/>
      <c r="AA70" s="43">
        <v>104000</v>
      </c>
      <c r="AB70" s="37">
        <v>96000</v>
      </c>
      <c r="AC70" s="28">
        <f t="shared" si="17"/>
        <v>8000</v>
      </c>
      <c r="AD70" s="31">
        <f t="shared" si="18"/>
        <v>1.0833333333333333</v>
      </c>
      <c r="AE70" s="78">
        <v>96000</v>
      </c>
      <c r="AF70" s="74" t="s">
        <v>161</v>
      </c>
    </row>
    <row r="71" spans="1:32">
      <c r="A71" s="48" t="s">
        <v>140</v>
      </c>
      <c r="B71" s="27">
        <f>-8.5</f>
        <v>-8.5</v>
      </c>
      <c r="C71" s="14">
        <f>B71/$AB71</f>
        <v>-7.083333333333333E-3</v>
      </c>
      <c r="D71" s="27">
        <f>274.16</f>
        <v>274.16000000000003</v>
      </c>
      <c r="E71" s="14">
        <f>D71/$AB71</f>
        <v>0.22846666666666668</v>
      </c>
      <c r="F71" s="25"/>
      <c r="G71" s="14">
        <f>F71/$AB71</f>
        <v>0</v>
      </c>
      <c r="H71" s="25"/>
      <c r="I71" s="14">
        <f>H71/$AB71</f>
        <v>0</v>
      </c>
      <c r="J71" s="25"/>
      <c r="K71" s="14">
        <f>J71/$AB71</f>
        <v>0</v>
      </c>
      <c r="L71" s="36">
        <f>221</f>
        <v>221</v>
      </c>
      <c r="M71" s="14">
        <f>L71/$AB71</f>
        <v>0.18416666666666667</v>
      </c>
      <c r="N71" s="45"/>
      <c r="O71" s="14">
        <f>N71/$AB71</f>
        <v>0</v>
      </c>
      <c r="P71" s="11"/>
      <c r="Q71" s="14">
        <f>P71/$AB71</f>
        <v>0</v>
      </c>
      <c r="R71" s="11"/>
      <c r="S71" s="14">
        <f>R71/$AB71</f>
        <v>0</v>
      </c>
      <c r="T71" s="11"/>
      <c r="U71" s="14">
        <f>T71/$AB71</f>
        <v>0</v>
      </c>
      <c r="V71" s="11"/>
      <c r="W71" s="14">
        <f>V71/$AB71</f>
        <v>0</v>
      </c>
      <c r="X71" s="11"/>
      <c r="Y71" s="19">
        <f>X71/$AB71</f>
        <v>0</v>
      </c>
      <c r="Z71" s="13"/>
      <c r="AA71" s="43">
        <v>796</v>
      </c>
      <c r="AB71" s="37">
        <v>1200</v>
      </c>
      <c r="AC71" s="28">
        <f t="shared" si="17"/>
        <v>-404</v>
      </c>
      <c r="AD71" s="31">
        <f t="shared" si="18"/>
        <v>0.66333333333333333</v>
      </c>
      <c r="AE71" s="78">
        <v>1000</v>
      </c>
      <c r="AF71" s="72"/>
    </row>
    <row r="72" spans="1:32">
      <c r="A72" s="1" t="s">
        <v>141</v>
      </c>
      <c r="B72" s="25"/>
      <c r="C72" s="14">
        <f>B72/$AB72</f>
        <v>0</v>
      </c>
      <c r="D72" s="25"/>
      <c r="E72" s="14">
        <f>D72/$AB72</f>
        <v>0</v>
      </c>
      <c r="F72" s="25"/>
      <c r="G72" s="14">
        <f>F72/$AB72</f>
        <v>0</v>
      </c>
      <c r="H72" s="25"/>
      <c r="I72" s="14">
        <f>H72/$AB72</f>
        <v>0</v>
      </c>
      <c r="J72" s="25"/>
      <c r="K72" s="14">
        <f>J72/$AB72</f>
        <v>0</v>
      </c>
      <c r="L72" s="34"/>
      <c r="M72" s="14">
        <f>L72/$AB72</f>
        <v>0</v>
      </c>
      <c r="N72" s="45"/>
      <c r="O72" s="14">
        <f>N72/$AB72</f>
        <v>0</v>
      </c>
      <c r="P72" s="11"/>
      <c r="Q72" s="14">
        <f>P72/$AB72</f>
        <v>0</v>
      </c>
      <c r="R72" s="11"/>
      <c r="S72" s="14">
        <f>R72/$AB72</f>
        <v>0</v>
      </c>
      <c r="T72" s="11"/>
      <c r="U72" s="14">
        <f>T72/$AB72</f>
        <v>0</v>
      </c>
      <c r="V72" s="11"/>
      <c r="W72" s="14">
        <f>V72/$AB72</f>
        <v>0</v>
      </c>
      <c r="X72" s="11"/>
      <c r="Y72" s="19">
        <f>X72/$AB72</f>
        <v>0</v>
      </c>
      <c r="Z72" s="13"/>
      <c r="AA72" s="43">
        <v>1096</v>
      </c>
      <c r="AB72" s="37">
        <v>1000</v>
      </c>
      <c r="AC72" s="28">
        <f t="shared" si="17"/>
        <v>96</v>
      </c>
      <c r="AD72" s="31">
        <f t="shared" si="18"/>
        <v>1.0960000000000001</v>
      </c>
      <c r="AE72" s="78">
        <v>1000</v>
      </c>
      <c r="AF72" s="72"/>
    </row>
    <row r="73" spans="1:32" s="7" customFormat="1">
      <c r="A73" s="1" t="s">
        <v>162</v>
      </c>
      <c r="B73" s="25"/>
      <c r="C73" s="14"/>
      <c r="D73" s="25"/>
      <c r="E73" s="14"/>
      <c r="F73" s="25"/>
      <c r="G73" s="14"/>
      <c r="H73" s="25"/>
      <c r="I73" s="14"/>
      <c r="J73" s="25"/>
      <c r="K73" s="14"/>
      <c r="L73" s="34"/>
      <c r="M73" s="14"/>
      <c r="N73" s="45"/>
      <c r="O73" s="14"/>
      <c r="P73" s="11"/>
      <c r="Q73" s="14"/>
      <c r="R73" s="11"/>
      <c r="S73" s="14"/>
      <c r="T73" s="11"/>
      <c r="U73" s="14"/>
      <c r="V73" s="11"/>
      <c r="W73" s="14"/>
      <c r="X73" s="11"/>
      <c r="Y73" s="19"/>
      <c r="Z73" s="13"/>
      <c r="AA73" s="43"/>
      <c r="AB73" s="37"/>
      <c r="AC73" s="28"/>
      <c r="AD73" s="31"/>
      <c r="AE73" s="78">
        <v>150</v>
      </c>
      <c r="AF73" s="74" t="s">
        <v>163</v>
      </c>
    </row>
    <row r="74" spans="1:32">
      <c r="A74" s="1" t="s">
        <v>142</v>
      </c>
      <c r="B74" s="26">
        <f>(((B69)+(B70))+(B71))+(B72)</f>
        <v>7991.5</v>
      </c>
      <c r="C74" s="14">
        <f>B74/$AB74</f>
        <v>8.1379837067209776E-2</v>
      </c>
      <c r="D74" s="26">
        <f>(((D69)+(D70))+(D71))+(D72)</f>
        <v>16274.16</v>
      </c>
      <c r="E74" s="14">
        <f>D74/$AB74</f>
        <v>0.16572464358452138</v>
      </c>
      <c r="F74" s="26">
        <f>(((F69)+(F70))+(F71))+(F72)</f>
        <v>8000</v>
      </c>
      <c r="G74" s="14">
        <f>F74/$AB74</f>
        <v>8.1466395112016296E-2</v>
      </c>
      <c r="H74" s="26">
        <f>(((H69)+(H70))+(H71))+(H72)</f>
        <v>0</v>
      </c>
      <c r="I74" s="14">
        <f>H74/$AB74</f>
        <v>0</v>
      </c>
      <c r="J74" s="26">
        <f>(((J69)+(J70))+(J71))+(J72)</f>
        <v>8000</v>
      </c>
      <c r="K74" s="14">
        <f>J74/$AB74</f>
        <v>8.1466395112016296E-2</v>
      </c>
      <c r="L74" s="35">
        <f>(((L69)+(L70))+(L71))+(L72)</f>
        <v>16221</v>
      </c>
      <c r="M74" s="14">
        <f>L74/$AB74</f>
        <v>0.16518329938900203</v>
      </c>
      <c r="N74" s="45">
        <v>8000</v>
      </c>
      <c r="O74" s="14">
        <f>N74/$AB74</f>
        <v>8.1466395112016296E-2</v>
      </c>
      <c r="P74" s="11"/>
      <c r="Q74" s="14">
        <f>P74/$AB74</f>
        <v>0</v>
      </c>
      <c r="R74" s="11"/>
      <c r="S74" s="14">
        <f>R74/$AB74</f>
        <v>0</v>
      </c>
      <c r="T74" s="11"/>
      <c r="U74" s="14">
        <f>T74/$AB74</f>
        <v>0</v>
      </c>
      <c r="V74" s="11"/>
      <c r="W74" s="14">
        <f>V74/$AB74</f>
        <v>0</v>
      </c>
      <c r="X74" s="11"/>
      <c r="Y74" s="19">
        <f>X74/$AB74</f>
        <v>0</v>
      </c>
      <c r="Z74" s="13"/>
      <c r="AA74" s="41">
        <v>105892</v>
      </c>
      <c r="AB74" s="38">
        <f>(((AB69)+(AB70))+(AB71))+(AB72)</f>
        <v>98200</v>
      </c>
      <c r="AC74" s="29">
        <f t="shared" si="17"/>
        <v>7692</v>
      </c>
      <c r="AD74" s="32">
        <f t="shared" si="18"/>
        <v>1.0783299389002037</v>
      </c>
      <c r="AE74" s="79">
        <v>98150</v>
      </c>
      <c r="AF74" s="72"/>
    </row>
    <row r="75" spans="1:32">
      <c r="A75" s="1" t="s">
        <v>143</v>
      </c>
      <c r="B75" s="25"/>
      <c r="C75" s="14"/>
      <c r="D75" s="25"/>
      <c r="E75" s="14"/>
      <c r="F75" s="25"/>
      <c r="G75" s="14"/>
      <c r="H75" s="25"/>
      <c r="I75" s="14"/>
      <c r="J75" s="25"/>
      <c r="K75" s="14"/>
      <c r="L75" s="34"/>
      <c r="M75" s="14"/>
      <c r="N75" s="45"/>
      <c r="O75" s="14"/>
      <c r="P75" s="11"/>
      <c r="Q75" s="14"/>
      <c r="R75" s="11"/>
      <c r="S75" s="14"/>
      <c r="T75" s="11"/>
      <c r="U75" s="14"/>
      <c r="V75" s="11"/>
      <c r="W75" s="14"/>
      <c r="X75" s="11"/>
      <c r="Y75" s="19"/>
      <c r="Z75" s="13"/>
      <c r="AA75" s="42">
        <f t="shared" si="2"/>
        <v>0</v>
      </c>
      <c r="AB75" s="39"/>
      <c r="AC75" s="28">
        <f t="shared" si="17"/>
        <v>0</v>
      </c>
      <c r="AD75" s="31" t="str">
        <f t="shared" si="18"/>
        <v/>
      </c>
      <c r="AE75" s="80"/>
      <c r="AF75" s="72"/>
    </row>
    <row r="76" spans="1:32">
      <c r="A76" s="48" t="s">
        <v>144</v>
      </c>
      <c r="B76" s="25"/>
      <c r="C76" s="14">
        <f>B76/$AB76</f>
        <v>0</v>
      </c>
      <c r="D76" s="25"/>
      <c r="E76" s="14">
        <f>D76/$AB76</f>
        <v>0</v>
      </c>
      <c r="F76" s="25"/>
      <c r="G76" s="14">
        <f>F76/$AB76</f>
        <v>0</v>
      </c>
      <c r="H76" s="25"/>
      <c r="I76" s="14">
        <f>H76/$AB76</f>
        <v>0</v>
      </c>
      <c r="J76" s="25"/>
      <c r="K76" s="14">
        <f>J76/$AB76</f>
        <v>0</v>
      </c>
      <c r="L76" s="34"/>
      <c r="M76" s="14">
        <f>L76/$AB76</f>
        <v>0</v>
      </c>
      <c r="N76" s="45"/>
      <c r="O76" s="14">
        <f>N76/$AB76</f>
        <v>0</v>
      </c>
      <c r="P76" s="11"/>
      <c r="Q76" s="14">
        <f>P76/$AB76</f>
        <v>0</v>
      </c>
      <c r="R76" s="11"/>
      <c r="S76" s="14">
        <f>R76/$AB76</f>
        <v>0</v>
      </c>
      <c r="T76" s="11"/>
      <c r="U76" s="14">
        <f>T76/$AB76</f>
        <v>0</v>
      </c>
      <c r="V76" s="11"/>
      <c r="W76" s="14">
        <f>V76/$AB76</f>
        <v>0</v>
      </c>
      <c r="X76" s="11"/>
      <c r="Y76" s="19">
        <f>X76/$AB76</f>
        <v>0</v>
      </c>
      <c r="Z76" s="13"/>
      <c r="AA76" s="43">
        <f t="shared" si="2"/>
        <v>0</v>
      </c>
      <c r="AB76" s="37">
        <v>250</v>
      </c>
      <c r="AC76" s="28">
        <f t="shared" si="17"/>
        <v>-250</v>
      </c>
      <c r="AD76" s="31">
        <f t="shared" si="18"/>
        <v>0</v>
      </c>
      <c r="AE76" s="81">
        <v>2250</v>
      </c>
      <c r="AF76" s="73" t="s">
        <v>193</v>
      </c>
    </row>
    <row r="77" spans="1:32" s="7" customFormat="1">
      <c r="A77" s="1"/>
      <c r="B77" s="25"/>
      <c r="C77" s="14"/>
      <c r="D77" s="25"/>
      <c r="E77" s="14"/>
      <c r="F77" s="25"/>
      <c r="G77" s="14"/>
      <c r="H77" s="25"/>
      <c r="I77" s="14"/>
      <c r="J77" s="25"/>
      <c r="K77" s="14"/>
      <c r="L77" s="34"/>
      <c r="M77" s="14"/>
      <c r="N77" s="45"/>
      <c r="O77" s="14"/>
      <c r="P77" s="11"/>
      <c r="Q77" s="14"/>
      <c r="R77" s="11"/>
      <c r="S77" s="14"/>
      <c r="T77" s="11"/>
      <c r="U77" s="14"/>
      <c r="V77" s="11"/>
      <c r="W77" s="14"/>
      <c r="X77" s="11"/>
      <c r="Y77" s="19"/>
      <c r="Z77" s="13"/>
      <c r="AA77" s="43"/>
      <c r="AB77" s="37"/>
      <c r="AC77" s="28"/>
      <c r="AD77" s="31"/>
      <c r="AE77" s="81"/>
      <c r="AF77" s="73" t="s">
        <v>194</v>
      </c>
    </row>
    <row r="78" spans="1:32">
      <c r="A78" s="48" t="s">
        <v>145</v>
      </c>
      <c r="B78" s="27">
        <f>583.33</f>
        <v>583.33000000000004</v>
      </c>
      <c r="C78" s="14">
        <f>B78/$AB78</f>
        <v>0.19444333333333336</v>
      </c>
      <c r="D78" s="27">
        <f>233.33</f>
        <v>233.33</v>
      </c>
      <c r="E78" s="14">
        <f>D78/$AB78</f>
        <v>7.7776666666666674E-2</v>
      </c>
      <c r="F78" s="27">
        <f>166.66</f>
        <v>166.66</v>
      </c>
      <c r="G78" s="14">
        <f>F78/$AB78</f>
        <v>5.555333333333333E-2</v>
      </c>
      <c r="H78" s="25"/>
      <c r="I78" s="14">
        <f>H78/$AB78</f>
        <v>0</v>
      </c>
      <c r="J78" s="27">
        <f>83.33</f>
        <v>83.33</v>
      </c>
      <c r="K78" s="14">
        <f>J78/$AB78</f>
        <v>2.7776666666666665E-2</v>
      </c>
      <c r="L78" s="36">
        <f>166.66</f>
        <v>166.66</v>
      </c>
      <c r="M78" s="14">
        <f>L78/$AB78</f>
        <v>5.555333333333333E-2</v>
      </c>
      <c r="N78" s="45">
        <v>1908</v>
      </c>
      <c r="O78" s="14">
        <f>N78/$AB78</f>
        <v>0.63600000000000001</v>
      </c>
      <c r="P78" s="11"/>
      <c r="Q78" s="14">
        <f>P78/$AB78</f>
        <v>0</v>
      </c>
      <c r="R78" s="11"/>
      <c r="S78" s="14">
        <f>R78/$AB78</f>
        <v>0</v>
      </c>
      <c r="T78" s="11"/>
      <c r="U78" s="14">
        <f>T78/$AB78</f>
        <v>0</v>
      </c>
      <c r="V78" s="11"/>
      <c r="W78" s="14">
        <f>V78/$AB78</f>
        <v>0</v>
      </c>
      <c r="X78" s="11"/>
      <c r="Y78" s="19">
        <f>X78/$AB78</f>
        <v>0</v>
      </c>
      <c r="Z78" s="13"/>
      <c r="AA78" s="43">
        <v>4479</v>
      </c>
      <c r="AB78" s="37">
        <v>3000</v>
      </c>
      <c r="AC78" s="28">
        <f t="shared" si="17"/>
        <v>1479</v>
      </c>
      <c r="AD78" s="31">
        <f t="shared" si="18"/>
        <v>1.4930000000000001</v>
      </c>
      <c r="AE78" s="78">
        <v>5000</v>
      </c>
      <c r="AF78" s="72" t="s">
        <v>179</v>
      </c>
    </row>
    <row r="79" spans="1:32">
      <c r="A79" s="1" t="s">
        <v>146</v>
      </c>
      <c r="B79" s="25"/>
      <c r="C79" s="14">
        <f>B79/$AB79</f>
        <v>0</v>
      </c>
      <c r="D79" s="25"/>
      <c r="E79" s="14">
        <f>D79/$AB79</f>
        <v>0</v>
      </c>
      <c r="F79" s="25"/>
      <c r="G79" s="14">
        <f>F79/$AB79</f>
        <v>0</v>
      </c>
      <c r="H79" s="27">
        <f>100</f>
        <v>100</v>
      </c>
      <c r="I79" s="14">
        <f>H79/$AB79</f>
        <v>0.5</v>
      </c>
      <c r="J79" s="25"/>
      <c r="K79" s="14">
        <f>J79/$AB79</f>
        <v>0</v>
      </c>
      <c r="L79" s="34"/>
      <c r="M79" s="14">
        <f>L79/$AB79</f>
        <v>0</v>
      </c>
      <c r="N79" s="45"/>
      <c r="O79" s="14">
        <f>N79/$AB79</f>
        <v>0</v>
      </c>
      <c r="P79" s="11"/>
      <c r="Q79" s="14">
        <f>P79/$AB79</f>
        <v>0</v>
      </c>
      <c r="R79" s="11"/>
      <c r="S79" s="14">
        <f>R79/$AB79</f>
        <v>0</v>
      </c>
      <c r="T79" s="11"/>
      <c r="U79" s="14">
        <f>T79/$AB79</f>
        <v>0</v>
      </c>
      <c r="V79" s="11"/>
      <c r="W79" s="14">
        <f>V79/$AB79</f>
        <v>0</v>
      </c>
      <c r="X79" s="11"/>
      <c r="Y79" s="19">
        <f>X79/$AB79</f>
        <v>0</v>
      </c>
      <c r="Z79" s="13"/>
      <c r="AA79" s="43">
        <v>200</v>
      </c>
      <c r="AB79" s="37">
        <v>200</v>
      </c>
      <c r="AC79" s="28">
        <f t="shared" si="17"/>
        <v>0</v>
      </c>
      <c r="AD79" s="31">
        <f t="shared" si="18"/>
        <v>1</v>
      </c>
      <c r="AE79" s="78">
        <v>200</v>
      </c>
      <c r="AF79" s="72"/>
    </row>
    <row r="80" spans="1:32">
      <c r="A80" s="1" t="s">
        <v>147</v>
      </c>
      <c r="B80" s="26">
        <f>(((B75)+(B76))+(B78))+(B79)</f>
        <v>583.33000000000004</v>
      </c>
      <c r="C80" s="14">
        <f>B80/$AB80</f>
        <v>0.16908115942028987</v>
      </c>
      <c r="D80" s="26">
        <f>(((D75)+(D76))+(D78))+(D79)</f>
        <v>233.33</v>
      </c>
      <c r="E80" s="14">
        <f>D80/$AB80</f>
        <v>6.763188405797102E-2</v>
      </c>
      <c r="F80" s="26">
        <f>(((F75)+(F76))+(F78))+(F79)</f>
        <v>166.66</v>
      </c>
      <c r="G80" s="14">
        <f>F80/$AB80</f>
        <v>4.8307246376811594E-2</v>
      </c>
      <c r="H80" s="26">
        <f>(((H75)+(H76))+(H78))+(H79)</f>
        <v>100</v>
      </c>
      <c r="I80" s="14">
        <f>H80/$AB80</f>
        <v>2.8985507246376812E-2</v>
      </c>
      <c r="J80" s="26">
        <f>(((J75)+(J76))+(J78))+(J79)</f>
        <v>83.33</v>
      </c>
      <c r="K80" s="14">
        <f>J80/$AB80</f>
        <v>2.4153623188405797E-2</v>
      </c>
      <c r="L80" s="35">
        <f>(((L75)+(L76))+(L78))+(L79)</f>
        <v>166.66</v>
      </c>
      <c r="M80" s="14">
        <f>L80/$AB80</f>
        <v>4.8307246376811594E-2</v>
      </c>
      <c r="N80" s="45">
        <v>1908</v>
      </c>
      <c r="O80" s="14">
        <f>N80/$AB80</f>
        <v>0.55304347826086953</v>
      </c>
      <c r="P80" s="11"/>
      <c r="Q80" s="14">
        <f>P80/$AB80</f>
        <v>0</v>
      </c>
      <c r="R80" s="11"/>
      <c r="S80" s="14">
        <f>R80/$AB80</f>
        <v>0</v>
      </c>
      <c r="T80" s="11"/>
      <c r="U80" s="14">
        <f>T80/$AB80</f>
        <v>0</v>
      </c>
      <c r="V80" s="11"/>
      <c r="W80" s="14">
        <f>V80/$AB80</f>
        <v>0</v>
      </c>
      <c r="X80" s="11"/>
      <c r="Y80" s="19">
        <f>X80/$AB80</f>
        <v>0</v>
      </c>
      <c r="Z80" s="13"/>
      <c r="AA80" s="41">
        <v>4679</v>
      </c>
      <c r="AB80" s="38">
        <f>(((AB75)+(AB76))+(AB78))+(AB79)</f>
        <v>3450</v>
      </c>
      <c r="AC80" s="29">
        <f t="shared" ref="AC80:AC119" si="31">(AA80)-(AB80)</f>
        <v>1229</v>
      </c>
      <c r="AD80" s="32">
        <f t="shared" ref="AD80:AD119" si="32">IF(AB80=0,"",(AA80)/(AB80))</f>
        <v>1.356231884057971</v>
      </c>
      <c r="AE80" s="79">
        <f>(((AE75)+(AE76))+(AE78))+(AE79)</f>
        <v>7450</v>
      </c>
      <c r="AF80" s="72"/>
    </row>
    <row r="81" spans="1:32">
      <c r="A81" s="1" t="s">
        <v>148</v>
      </c>
      <c r="B81" s="25"/>
      <c r="C81" s="14"/>
      <c r="D81" s="25"/>
      <c r="E81" s="14"/>
      <c r="F81" s="25"/>
      <c r="G81" s="14"/>
      <c r="H81" s="25"/>
      <c r="I81" s="14"/>
      <c r="J81" s="27">
        <f>570.77</f>
        <v>570.77</v>
      </c>
      <c r="K81" s="14"/>
      <c r="L81" s="34"/>
      <c r="M81" s="14"/>
      <c r="N81" s="45"/>
      <c r="O81" s="14"/>
      <c r="P81" s="11"/>
      <c r="Q81" s="14"/>
      <c r="R81" s="11"/>
      <c r="S81" s="14"/>
      <c r="T81" s="11"/>
      <c r="U81" s="14"/>
      <c r="V81" s="11"/>
      <c r="W81" s="14"/>
      <c r="X81" s="11"/>
      <c r="Y81" s="19"/>
      <c r="Z81" s="13"/>
      <c r="AA81" s="42"/>
      <c r="AB81" s="39"/>
      <c r="AC81" s="28">
        <f t="shared" si="31"/>
        <v>0</v>
      </c>
      <c r="AD81" s="31" t="str">
        <f t="shared" si="32"/>
        <v/>
      </c>
      <c r="AE81" s="80"/>
      <c r="AF81" s="72"/>
    </row>
    <row r="82" spans="1:32">
      <c r="A82" s="1" t="s">
        <v>149</v>
      </c>
      <c r="B82" s="25"/>
      <c r="C82" s="14">
        <f t="shared" ref="C82:C94" si="33">B82/$AB82</f>
        <v>0</v>
      </c>
      <c r="D82" s="25"/>
      <c r="E82" s="14">
        <f t="shared" ref="E82:E94" si="34">D82/$AB82</f>
        <v>0</v>
      </c>
      <c r="F82" s="25"/>
      <c r="G82" s="14">
        <f t="shared" ref="G82:G94" si="35">F82/$AB82</f>
        <v>0</v>
      </c>
      <c r="H82" s="25"/>
      <c r="I82" s="14">
        <f t="shared" ref="I82:I94" si="36">H82/$AB82</f>
        <v>0</v>
      </c>
      <c r="J82" s="25"/>
      <c r="K82" s="14">
        <f t="shared" ref="K82:K94" si="37">J82/$AB82</f>
        <v>0</v>
      </c>
      <c r="L82" s="34"/>
      <c r="M82" s="14">
        <f t="shared" ref="M82:M94" si="38">L82/$AB82</f>
        <v>0</v>
      </c>
      <c r="N82" s="45"/>
      <c r="O82" s="14">
        <f t="shared" ref="O82:O94" si="39">N82/$AB82</f>
        <v>0</v>
      </c>
      <c r="P82" s="11"/>
      <c r="Q82" s="14">
        <f t="shared" ref="Q82:Q94" si="40">P82/$AB82</f>
        <v>0</v>
      </c>
      <c r="R82" s="11"/>
      <c r="S82" s="14">
        <f t="shared" ref="S82:S94" si="41">R82/$AB82</f>
        <v>0</v>
      </c>
      <c r="T82" s="11"/>
      <c r="U82" s="14">
        <f t="shared" ref="U82:U94" si="42">T82/$AB82</f>
        <v>0</v>
      </c>
      <c r="V82" s="11"/>
      <c r="W82" s="14">
        <f t="shared" ref="W82:W94" si="43">V82/$AB82</f>
        <v>0</v>
      </c>
      <c r="X82" s="11"/>
      <c r="Y82" s="19">
        <f t="shared" ref="Y82:Y94" si="44">X82/$AB82</f>
        <v>0</v>
      </c>
      <c r="Z82" s="13"/>
      <c r="AA82" s="43">
        <v>0</v>
      </c>
      <c r="AB82" s="37">
        <v>250</v>
      </c>
      <c r="AC82" s="28">
        <f t="shared" si="31"/>
        <v>-250</v>
      </c>
      <c r="AD82" s="31">
        <f t="shared" si="32"/>
        <v>0</v>
      </c>
      <c r="AE82" s="81">
        <v>250</v>
      </c>
      <c r="AF82" s="72"/>
    </row>
    <row r="83" spans="1:32">
      <c r="A83" s="1" t="s">
        <v>150</v>
      </c>
      <c r="B83" s="27">
        <f>833.34</f>
        <v>833.34</v>
      </c>
      <c r="C83" s="14">
        <f t="shared" si="33"/>
        <v>8.3334000000000005E-2</v>
      </c>
      <c r="D83" s="27">
        <f>833.32</f>
        <v>833.32</v>
      </c>
      <c r="E83" s="14">
        <f t="shared" si="34"/>
        <v>8.3332000000000003E-2</v>
      </c>
      <c r="F83" s="27">
        <f>1249.98</f>
        <v>1249.98</v>
      </c>
      <c r="G83" s="14">
        <f t="shared" si="35"/>
        <v>0.124998</v>
      </c>
      <c r="H83" s="27">
        <f>416.66</f>
        <v>416.66</v>
      </c>
      <c r="I83" s="14">
        <f t="shared" si="36"/>
        <v>4.1666000000000002E-2</v>
      </c>
      <c r="J83" s="27">
        <f>833.32</f>
        <v>833.32</v>
      </c>
      <c r="K83" s="14">
        <f t="shared" si="37"/>
        <v>8.3332000000000003E-2</v>
      </c>
      <c r="L83" s="36">
        <f>1249.98</f>
        <v>1249.98</v>
      </c>
      <c r="M83" s="14">
        <f t="shared" si="38"/>
        <v>0.124998</v>
      </c>
      <c r="N83" s="45">
        <v>416.66</v>
      </c>
      <c r="O83" s="14">
        <f t="shared" si="39"/>
        <v>4.1666000000000002E-2</v>
      </c>
      <c r="P83" s="11"/>
      <c r="Q83" s="14">
        <f t="shared" si="40"/>
        <v>0</v>
      </c>
      <c r="R83" s="11"/>
      <c r="S83" s="14">
        <f t="shared" si="41"/>
        <v>0</v>
      </c>
      <c r="T83" s="11"/>
      <c r="U83" s="14">
        <f t="shared" si="42"/>
        <v>0</v>
      </c>
      <c r="V83" s="11"/>
      <c r="W83" s="14">
        <f t="shared" si="43"/>
        <v>0</v>
      </c>
      <c r="X83" s="11"/>
      <c r="Y83" s="19">
        <f t="shared" si="44"/>
        <v>0</v>
      </c>
      <c r="Z83" s="13"/>
      <c r="AA83" s="43">
        <v>10416</v>
      </c>
      <c r="AB83" s="37">
        <v>10000</v>
      </c>
      <c r="AC83" s="28">
        <f t="shared" si="31"/>
        <v>416</v>
      </c>
      <c r="AD83" s="31">
        <f t="shared" si="32"/>
        <v>1.0416000000000001</v>
      </c>
      <c r="AE83" s="78">
        <v>10000</v>
      </c>
      <c r="AF83" s="72"/>
    </row>
    <row r="84" spans="1:32">
      <c r="A84" s="1" t="s">
        <v>151</v>
      </c>
      <c r="B84" s="27">
        <f>416.67</f>
        <v>416.67</v>
      </c>
      <c r="C84" s="14">
        <f t="shared" si="33"/>
        <v>8.3334000000000005E-2</v>
      </c>
      <c r="D84" s="27">
        <f>416.67</f>
        <v>416.67</v>
      </c>
      <c r="E84" s="14">
        <f t="shared" si="34"/>
        <v>8.3334000000000005E-2</v>
      </c>
      <c r="F84" s="27">
        <f>833.34</f>
        <v>833.34</v>
      </c>
      <c r="G84" s="14">
        <f t="shared" si="35"/>
        <v>0.16666800000000001</v>
      </c>
      <c r="H84" s="25"/>
      <c r="I84" s="14">
        <f t="shared" si="36"/>
        <v>0</v>
      </c>
      <c r="J84" s="27">
        <f>416.67</f>
        <v>416.67</v>
      </c>
      <c r="K84" s="14">
        <f t="shared" si="37"/>
        <v>8.3334000000000005E-2</v>
      </c>
      <c r="L84" s="36">
        <f>833.34</f>
        <v>833.34</v>
      </c>
      <c r="M84" s="14">
        <f t="shared" si="38"/>
        <v>0.16666800000000001</v>
      </c>
      <c r="N84" s="45"/>
      <c r="O84" s="14">
        <f t="shared" si="39"/>
        <v>0</v>
      </c>
      <c r="P84" s="11"/>
      <c r="Q84" s="14">
        <f t="shared" si="40"/>
        <v>0</v>
      </c>
      <c r="R84" s="11"/>
      <c r="S84" s="14">
        <f t="shared" si="41"/>
        <v>0</v>
      </c>
      <c r="T84" s="11"/>
      <c r="U84" s="14">
        <f t="shared" si="42"/>
        <v>0</v>
      </c>
      <c r="V84" s="11"/>
      <c r="W84" s="14">
        <f t="shared" si="43"/>
        <v>0</v>
      </c>
      <c r="X84" s="11"/>
      <c r="Y84" s="19">
        <f t="shared" si="44"/>
        <v>0</v>
      </c>
      <c r="Z84" s="13"/>
      <c r="AA84" s="43">
        <v>5000</v>
      </c>
      <c r="AB84" s="37">
        <v>5000</v>
      </c>
      <c r="AC84" s="28">
        <f t="shared" si="31"/>
        <v>0</v>
      </c>
      <c r="AD84" s="31">
        <f t="shared" si="32"/>
        <v>1</v>
      </c>
      <c r="AE84" s="78">
        <v>5000</v>
      </c>
      <c r="AF84" s="72"/>
    </row>
    <row r="85" spans="1:32">
      <c r="A85" s="1" t="s">
        <v>152</v>
      </c>
      <c r="B85" s="27">
        <f>2558.33</f>
        <v>2558.33</v>
      </c>
      <c r="C85" s="14">
        <f t="shared" si="33"/>
        <v>8.761404109589041E-2</v>
      </c>
      <c r="D85" s="27">
        <f>2647.74</f>
        <v>2647.74</v>
      </c>
      <c r="E85" s="14">
        <f t="shared" si="34"/>
        <v>9.0676027397260273E-2</v>
      </c>
      <c r="F85" s="27">
        <f>5116.66</f>
        <v>5116.66</v>
      </c>
      <c r="G85" s="14">
        <f t="shared" si="35"/>
        <v>0.17522808219178082</v>
      </c>
      <c r="H85" s="25"/>
      <c r="I85" s="14">
        <f t="shared" si="36"/>
        <v>0</v>
      </c>
      <c r="J85" s="27">
        <f>2558.33</f>
        <v>2558.33</v>
      </c>
      <c r="K85" s="14">
        <f t="shared" si="37"/>
        <v>8.761404109589041E-2</v>
      </c>
      <c r="L85" s="36">
        <f>5116.66</f>
        <v>5116.66</v>
      </c>
      <c r="M85" s="14">
        <f t="shared" si="38"/>
        <v>0.17522808219178082</v>
      </c>
      <c r="N85" s="45">
        <v>2558.33</v>
      </c>
      <c r="O85" s="14">
        <f t="shared" si="39"/>
        <v>8.761404109589041E-2</v>
      </c>
      <c r="P85" s="11"/>
      <c r="Q85" s="14">
        <f t="shared" si="40"/>
        <v>0</v>
      </c>
      <c r="R85" s="11"/>
      <c r="S85" s="14">
        <f t="shared" si="41"/>
        <v>0</v>
      </c>
      <c r="T85" s="11"/>
      <c r="U85" s="14">
        <f t="shared" si="42"/>
        <v>0</v>
      </c>
      <c r="V85" s="11"/>
      <c r="W85" s="14">
        <f t="shared" si="43"/>
        <v>0</v>
      </c>
      <c r="X85" s="11"/>
      <c r="Y85" s="19">
        <f t="shared" si="44"/>
        <v>0</v>
      </c>
      <c r="Z85" s="13"/>
      <c r="AA85" s="43">
        <v>30789</v>
      </c>
      <c r="AB85" s="37">
        <v>29200</v>
      </c>
      <c r="AC85" s="28">
        <f t="shared" si="31"/>
        <v>1589</v>
      </c>
      <c r="AD85" s="31">
        <f t="shared" si="32"/>
        <v>1.0544178082191782</v>
      </c>
      <c r="AE85" s="78">
        <v>29200</v>
      </c>
      <c r="AF85" s="72"/>
    </row>
    <row r="86" spans="1:32">
      <c r="A86" s="1" t="s">
        <v>153</v>
      </c>
      <c r="B86" s="25"/>
      <c r="C86" s="14">
        <f t="shared" si="33"/>
        <v>0</v>
      </c>
      <c r="D86" s="25"/>
      <c r="E86" s="14">
        <f t="shared" si="34"/>
        <v>0</v>
      </c>
      <c r="F86" s="27">
        <f>700</f>
        <v>700</v>
      </c>
      <c r="G86" s="14">
        <f t="shared" si="35"/>
        <v>0.33333333333333331</v>
      </c>
      <c r="H86" s="25"/>
      <c r="I86" s="14">
        <f t="shared" si="36"/>
        <v>0</v>
      </c>
      <c r="J86" s="25"/>
      <c r="K86" s="14">
        <f t="shared" si="37"/>
        <v>0</v>
      </c>
      <c r="L86" s="34"/>
      <c r="M86" s="14">
        <f t="shared" si="38"/>
        <v>0</v>
      </c>
      <c r="N86" s="45"/>
      <c r="O86" s="14">
        <f t="shared" si="39"/>
        <v>0</v>
      </c>
      <c r="P86" s="11"/>
      <c r="Q86" s="14">
        <f t="shared" si="40"/>
        <v>0</v>
      </c>
      <c r="R86" s="11"/>
      <c r="S86" s="14">
        <f t="shared" si="41"/>
        <v>0</v>
      </c>
      <c r="T86" s="11"/>
      <c r="U86" s="14">
        <f t="shared" si="42"/>
        <v>0</v>
      </c>
      <c r="V86" s="11"/>
      <c r="W86" s="14">
        <f t="shared" si="43"/>
        <v>0</v>
      </c>
      <c r="X86" s="11"/>
      <c r="Y86" s="19">
        <f t="shared" si="44"/>
        <v>0</v>
      </c>
      <c r="Z86" s="13"/>
      <c r="AA86" s="43">
        <v>1400</v>
      </c>
      <c r="AB86" s="37">
        <v>2100</v>
      </c>
      <c r="AC86" s="28">
        <f t="shared" si="31"/>
        <v>-700</v>
      </c>
      <c r="AD86" s="31">
        <f t="shared" si="32"/>
        <v>0.66666666666666663</v>
      </c>
      <c r="AE86" s="78">
        <v>2100</v>
      </c>
      <c r="AF86" s="72"/>
    </row>
    <row r="87" spans="1:32">
      <c r="A87" s="1" t="s">
        <v>154</v>
      </c>
      <c r="B87" s="27">
        <f>416.66</f>
        <v>416.66</v>
      </c>
      <c r="C87" s="14">
        <f t="shared" si="33"/>
        <v>8.3332000000000003E-2</v>
      </c>
      <c r="D87" s="27">
        <f>416.66</f>
        <v>416.66</v>
      </c>
      <c r="E87" s="14">
        <f t="shared" si="34"/>
        <v>8.3332000000000003E-2</v>
      </c>
      <c r="F87" s="27">
        <f>833.32</f>
        <v>833.32</v>
      </c>
      <c r="G87" s="14">
        <f t="shared" si="35"/>
        <v>0.16666400000000001</v>
      </c>
      <c r="H87" s="25"/>
      <c r="I87" s="14">
        <f t="shared" si="36"/>
        <v>0</v>
      </c>
      <c r="J87" s="27">
        <f>416.66</f>
        <v>416.66</v>
      </c>
      <c r="K87" s="14">
        <f t="shared" si="37"/>
        <v>8.3332000000000003E-2</v>
      </c>
      <c r="L87" s="36">
        <f>833.32</f>
        <v>833.32</v>
      </c>
      <c r="M87" s="14">
        <f t="shared" si="38"/>
        <v>0.16666400000000001</v>
      </c>
      <c r="N87" s="45"/>
      <c r="O87" s="14">
        <f t="shared" si="39"/>
        <v>0</v>
      </c>
      <c r="P87" s="11"/>
      <c r="Q87" s="14">
        <f t="shared" si="40"/>
        <v>0</v>
      </c>
      <c r="R87" s="11"/>
      <c r="S87" s="14">
        <f t="shared" si="41"/>
        <v>0</v>
      </c>
      <c r="T87" s="11"/>
      <c r="U87" s="14">
        <f t="shared" si="42"/>
        <v>0</v>
      </c>
      <c r="V87" s="11"/>
      <c r="W87" s="14">
        <f t="shared" si="43"/>
        <v>0</v>
      </c>
      <c r="X87" s="11"/>
      <c r="Y87" s="19">
        <f t="shared" si="44"/>
        <v>0</v>
      </c>
      <c r="Z87" s="13"/>
      <c r="AA87" s="43">
        <v>5416</v>
      </c>
      <c r="AB87" s="37">
        <v>5000</v>
      </c>
      <c r="AC87" s="28">
        <f t="shared" si="31"/>
        <v>416</v>
      </c>
      <c r="AD87" s="31">
        <f t="shared" si="32"/>
        <v>1.0831999999999999</v>
      </c>
      <c r="AE87" s="78">
        <v>5000</v>
      </c>
      <c r="AF87" s="72"/>
    </row>
    <row r="88" spans="1:32" ht="21" customHeight="1">
      <c r="A88" s="1" t="s">
        <v>164</v>
      </c>
      <c r="B88" s="27">
        <f>416.68</f>
        <v>416.68</v>
      </c>
      <c r="C88" s="14">
        <f t="shared" si="33"/>
        <v>8.3336000000000007E-2</v>
      </c>
      <c r="D88" s="27">
        <f>416.67</f>
        <v>416.67</v>
      </c>
      <c r="E88" s="14">
        <f t="shared" si="34"/>
        <v>8.3334000000000005E-2</v>
      </c>
      <c r="F88" s="27">
        <f>624.99</f>
        <v>624.99</v>
      </c>
      <c r="G88" s="14">
        <f t="shared" si="35"/>
        <v>0.124998</v>
      </c>
      <c r="H88" s="27">
        <f>208.33</f>
        <v>208.33</v>
      </c>
      <c r="I88" s="14">
        <f t="shared" si="36"/>
        <v>4.1666000000000002E-2</v>
      </c>
      <c r="J88" s="27">
        <f>416.66</f>
        <v>416.66</v>
      </c>
      <c r="K88" s="14">
        <f t="shared" si="37"/>
        <v>8.3332000000000003E-2</v>
      </c>
      <c r="L88" s="36">
        <f>624.99</f>
        <v>624.99</v>
      </c>
      <c r="M88" s="14">
        <f t="shared" si="38"/>
        <v>0.124998</v>
      </c>
      <c r="N88" s="45">
        <v>208.33</v>
      </c>
      <c r="O88" s="14">
        <f t="shared" si="39"/>
        <v>4.1666000000000002E-2</v>
      </c>
      <c r="P88" s="11"/>
      <c r="Q88" s="14">
        <f t="shared" si="40"/>
        <v>0</v>
      </c>
      <c r="R88" s="11"/>
      <c r="S88" s="14">
        <f t="shared" si="41"/>
        <v>0</v>
      </c>
      <c r="T88" s="11"/>
      <c r="U88" s="14">
        <f t="shared" si="42"/>
        <v>0</v>
      </c>
      <c r="V88" s="11"/>
      <c r="W88" s="14">
        <f t="shared" si="43"/>
        <v>0</v>
      </c>
      <c r="X88" s="11"/>
      <c r="Y88" s="19">
        <f t="shared" si="44"/>
        <v>0</v>
      </c>
      <c r="Z88" s="13"/>
      <c r="AA88" s="43">
        <v>5208</v>
      </c>
      <c r="AB88" s="37">
        <v>5000</v>
      </c>
      <c r="AC88" s="28">
        <f t="shared" si="31"/>
        <v>208</v>
      </c>
      <c r="AD88" s="31">
        <f t="shared" si="32"/>
        <v>1.0416000000000001</v>
      </c>
      <c r="AE88" s="78">
        <v>5000</v>
      </c>
      <c r="AF88" s="72"/>
    </row>
    <row r="89" spans="1:32">
      <c r="A89" s="1" t="s">
        <v>38</v>
      </c>
      <c r="B89" s="27">
        <f>583.33</f>
        <v>583.33000000000004</v>
      </c>
      <c r="C89" s="14">
        <f t="shared" si="33"/>
        <v>6.666628571428572E-2</v>
      </c>
      <c r="D89" s="27">
        <f>583.33</f>
        <v>583.33000000000004</v>
      </c>
      <c r="E89" s="14">
        <f t="shared" si="34"/>
        <v>6.666628571428572E-2</v>
      </c>
      <c r="F89" s="27">
        <f>1312.5</f>
        <v>1312.5</v>
      </c>
      <c r="G89" s="14">
        <f t="shared" si="35"/>
        <v>0.15</v>
      </c>
      <c r="H89" s="25"/>
      <c r="I89" s="14">
        <f t="shared" si="36"/>
        <v>0</v>
      </c>
      <c r="J89" s="27">
        <f>583.33</f>
        <v>583.33000000000004</v>
      </c>
      <c r="K89" s="14">
        <f t="shared" si="37"/>
        <v>6.666628571428572E-2</v>
      </c>
      <c r="L89" s="36">
        <f>1458.34</f>
        <v>1458.34</v>
      </c>
      <c r="M89" s="14">
        <f t="shared" si="38"/>
        <v>0.16666742857142855</v>
      </c>
      <c r="N89" s="45"/>
      <c r="O89" s="14">
        <f t="shared" si="39"/>
        <v>0</v>
      </c>
      <c r="P89" s="11"/>
      <c r="Q89" s="14">
        <f t="shared" si="40"/>
        <v>0</v>
      </c>
      <c r="R89" s="11"/>
      <c r="S89" s="14">
        <f t="shared" si="41"/>
        <v>0</v>
      </c>
      <c r="T89" s="11"/>
      <c r="U89" s="14">
        <f t="shared" si="42"/>
        <v>0</v>
      </c>
      <c r="V89" s="11"/>
      <c r="W89" s="14">
        <f t="shared" si="43"/>
        <v>0</v>
      </c>
      <c r="X89" s="11"/>
      <c r="Y89" s="19">
        <f t="shared" si="44"/>
        <v>0</v>
      </c>
      <c r="Z89" s="13"/>
      <c r="AA89" s="43">
        <v>8166</v>
      </c>
      <c r="AB89" s="37">
        <v>8750</v>
      </c>
      <c r="AC89" s="28">
        <f t="shared" si="31"/>
        <v>-584</v>
      </c>
      <c r="AD89" s="31">
        <f t="shared" si="32"/>
        <v>0.9332571428571429</v>
      </c>
      <c r="AE89" s="78">
        <v>8750</v>
      </c>
      <c r="AF89" s="72"/>
    </row>
    <row r="90" spans="1:32">
      <c r="A90" s="1" t="s">
        <v>165</v>
      </c>
      <c r="B90" s="27">
        <f>1304</f>
        <v>1304</v>
      </c>
      <c r="C90" s="14">
        <f t="shared" si="33"/>
        <v>0.17621621621621622</v>
      </c>
      <c r="D90" s="27">
        <f>693.58</f>
        <v>693.58</v>
      </c>
      <c r="E90" s="14">
        <f t="shared" si="34"/>
        <v>9.3727027027027038E-2</v>
      </c>
      <c r="F90" s="27">
        <f>693.58</f>
        <v>693.58</v>
      </c>
      <c r="G90" s="14">
        <f t="shared" si="35"/>
        <v>9.3727027027027038E-2</v>
      </c>
      <c r="H90" s="27">
        <f>150</f>
        <v>150</v>
      </c>
      <c r="I90" s="14">
        <f t="shared" si="36"/>
        <v>2.0270270270270271E-2</v>
      </c>
      <c r="J90" s="27">
        <f>1387.16</f>
        <v>1387.16</v>
      </c>
      <c r="K90" s="14">
        <f t="shared" si="37"/>
        <v>0.18745405405405408</v>
      </c>
      <c r="L90" s="34"/>
      <c r="M90" s="14">
        <f t="shared" si="38"/>
        <v>0</v>
      </c>
      <c r="N90" s="45">
        <v>727.48</v>
      </c>
      <c r="O90" s="14">
        <f t="shared" si="39"/>
        <v>9.8308108108108111E-2</v>
      </c>
      <c r="P90" s="11"/>
      <c r="Q90" s="14">
        <f t="shared" si="40"/>
        <v>0</v>
      </c>
      <c r="R90" s="11"/>
      <c r="S90" s="14">
        <f t="shared" si="41"/>
        <v>0</v>
      </c>
      <c r="T90" s="11"/>
      <c r="U90" s="14">
        <f t="shared" si="42"/>
        <v>0</v>
      </c>
      <c r="V90" s="11"/>
      <c r="W90" s="14">
        <f t="shared" si="43"/>
        <v>0</v>
      </c>
      <c r="X90" s="11"/>
      <c r="Y90" s="19">
        <f t="shared" si="44"/>
        <v>0</v>
      </c>
      <c r="Z90" s="13"/>
      <c r="AA90" s="43">
        <v>8701</v>
      </c>
      <c r="AB90" s="37">
        <v>7400</v>
      </c>
      <c r="AC90" s="28">
        <f t="shared" si="31"/>
        <v>1301</v>
      </c>
      <c r="AD90" s="31">
        <f t="shared" si="32"/>
        <v>1.1758108108108107</v>
      </c>
      <c r="AE90" s="78">
        <v>7400</v>
      </c>
      <c r="AF90" s="74" t="s">
        <v>166</v>
      </c>
    </row>
    <row r="91" spans="1:32">
      <c r="A91" s="48" t="s">
        <v>40</v>
      </c>
      <c r="B91" s="25"/>
      <c r="C91" s="14">
        <f t="shared" si="33"/>
        <v>0</v>
      </c>
      <c r="D91" s="25"/>
      <c r="E91" s="14">
        <f t="shared" si="34"/>
        <v>0</v>
      </c>
      <c r="F91" s="25"/>
      <c r="G91" s="14">
        <f t="shared" si="35"/>
        <v>0</v>
      </c>
      <c r="H91" s="25"/>
      <c r="I91" s="14">
        <f t="shared" si="36"/>
        <v>0</v>
      </c>
      <c r="J91" s="25"/>
      <c r="K91" s="14">
        <f t="shared" si="37"/>
        <v>0</v>
      </c>
      <c r="L91" s="34"/>
      <c r="M91" s="14">
        <f t="shared" si="38"/>
        <v>0</v>
      </c>
      <c r="N91" s="45"/>
      <c r="O91" s="14">
        <f t="shared" si="39"/>
        <v>0</v>
      </c>
      <c r="P91" s="11"/>
      <c r="Q91" s="14">
        <f t="shared" si="40"/>
        <v>0</v>
      </c>
      <c r="R91" s="11"/>
      <c r="S91" s="14">
        <f t="shared" si="41"/>
        <v>0</v>
      </c>
      <c r="T91" s="11"/>
      <c r="U91" s="14">
        <f t="shared" si="42"/>
        <v>0</v>
      </c>
      <c r="V91" s="11"/>
      <c r="W91" s="14">
        <f t="shared" si="43"/>
        <v>0</v>
      </c>
      <c r="X91" s="11"/>
      <c r="Y91" s="19">
        <f t="shared" si="44"/>
        <v>0</v>
      </c>
      <c r="Z91" s="13"/>
      <c r="AA91" s="43">
        <f t="shared" ref="AA91:AA138" si="45">X91+V91+T91+R91+P91+N91+L91+J91+H91+F91+D91+B91</f>
        <v>0</v>
      </c>
      <c r="AB91" s="37">
        <v>500</v>
      </c>
      <c r="AC91" s="28">
        <f t="shared" si="31"/>
        <v>-500</v>
      </c>
      <c r="AD91" s="31">
        <f t="shared" si="32"/>
        <v>0</v>
      </c>
      <c r="AE91" s="78">
        <v>2500</v>
      </c>
      <c r="AF91" s="74" t="s">
        <v>166</v>
      </c>
    </row>
    <row r="92" spans="1:32" s="7" customFormat="1">
      <c r="A92" s="48" t="s">
        <v>216</v>
      </c>
      <c r="B92" s="25"/>
      <c r="C92" s="14"/>
      <c r="D92" s="25"/>
      <c r="E92" s="14"/>
      <c r="F92" s="25"/>
      <c r="G92" s="14"/>
      <c r="H92" s="25"/>
      <c r="I92" s="14"/>
      <c r="J92" s="25"/>
      <c r="K92" s="14"/>
      <c r="L92" s="34"/>
      <c r="M92" s="14"/>
      <c r="N92" s="45"/>
      <c r="O92" s="14"/>
      <c r="P92" s="11"/>
      <c r="Q92" s="14"/>
      <c r="R92" s="11"/>
      <c r="S92" s="14"/>
      <c r="T92" s="11"/>
      <c r="U92" s="14"/>
      <c r="V92" s="11"/>
      <c r="W92" s="14"/>
      <c r="X92" s="11"/>
      <c r="Y92" s="19"/>
      <c r="Z92" s="13"/>
      <c r="AA92" s="43">
        <v>299</v>
      </c>
      <c r="AB92" s="37"/>
      <c r="AC92" s="28"/>
      <c r="AD92" s="31"/>
      <c r="AE92" s="78">
        <v>300</v>
      </c>
      <c r="AF92" s="74" t="s">
        <v>181</v>
      </c>
    </row>
    <row r="93" spans="1:32" s="7" customFormat="1">
      <c r="A93" s="1"/>
      <c r="B93" s="25"/>
      <c r="C93" s="14"/>
      <c r="D93" s="25"/>
      <c r="E93" s="14"/>
      <c r="F93" s="25"/>
      <c r="G93" s="14"/>
      <c r="H93" s="25"/>
      <c r="I93" s="14"/>
      <c r="J93" s="25"/>
      <c r="K93" s="14"/>
      <c r="L93" s="34"/>
      <c r="M93" s="14"/>
      <c r="N93" s="45"/>
      <c r="O93" s="14"/>
      <c r="P93" s="11"/>
      <c r="Q93" s="14"/>
      <c r="R93" s="11"/>
      <c r="S93" s="14"/>
      <c r="T93" s="11"/>
      <c r="U93" s="14"/>
      <c r="V93" s="11"/>
      <c r="W93" s="14"/>
      <c r="X93" s="11"/>
      <c r="Y93" s="19"/>
      <c r="Z93" s="13"/>
      <c r="AA93" s="43"/>
      <c r="AB93" s="37"/>
      <c r="AC93" s="28"/>
      <c r="AD93" s="31"/>
      <c r="AE93" s="78"/>
      <c r="AF93" s="74" t="s">
        <v>182</v>
      </c>
    </row>
    <row r="94" spans="1:32">
      <c r="A94" s="1" t="s">
        <v>41</v>
      </c>
      <c r="B94" s="26">
        <f>((((((((((B81)+(B82))+(B83))+(B84))+(B85))+(B86))+(B87))+(B88))+(B89))+(B90))+(B91)</f>
        <v>6529.01</v>
      </c>
      <c r="C94" s="14">
        <f t="shared" si="33"/>
        <v>8.9194125683060108E-2</v>
      </c>
      <c r="D94" s="26">
        <f>((((((((((D81)+(D82))+(D83))+(D84))+(D85))+(D86))+(D87))+(D88))+(D89))+(D90))+(D91)</f>
        <v>6007.9699999999993</v>
      </c>
      <c r="E94" s="14">
        <f t="shared" si="34"/>
        <v>8.207609289617486E-2</v>
      </c>
      <c r="F94" s="26">
        <f>((((((((((F81)+(F82))+(F83))+(F84))+(F85))+(F86))+(F87))+(F88))+(F89))+(F90))+(F91)</f>
        <v>11364.369999999999</v>
      </c>
      <c r="G94" s="14">
        <f t="shared" si="35"/>
        <v>0.155250956284153</v>
      </c>
      <c r="H94" s="26">
        <f>((((((((((H81)+(H82))+(H83))+(H84))+(H85))+(H86))+(H87))+(H88))+(H89))+(H90))+(H91)</f>
        <v>774.99</v>
      </c>
      <c r="I94" s="14">
        <f t="shared" si="36"/>
        <v>1.0587295081967213E-2</v>
      </c>
      <c r="J94" s="26">
        <f>((((((((((J81)+(J82))+(J83))+(J84))+(J85))+(J86))+(J87))+(J88))+(J89))+(J90))+(J91)</f>
        <v>7182.9</v>
      </c>
      <c r="K94" s="14">
        <f t="shared" si="37"/>
        <v>9.8127049180327858E-2</v>
      </c>
      <c r="L94" s="35">
        <f>((((((((((L81)+(L82))+(L83))+(L84))+(L85))+(L86))+(L87))+(L88))+(L89))+(L90))+(L91)</f>
        <v>10116.629999999999</v>
      </c>
      <c r="M94" s="14">
        <f t="shared" si="38"/>
        <v>0.13820532786885245</v>
      </c>
      <c r="N94" s="45">
        <v>3910.7999999999997</v>
      </c>
      <c r="O94" s="14">
        <f t="shared" si="39"/>
        <v>5.342622950819672E-2</v>
      </c>
      <c r="P94" s="11"/>
      <c r="Q94" s="14">
        <f t="shared" si="40"/>
        <v>0</v>
      </c>
      <c r="R94" s="11"/>
      <c r="S94" s="14">
        <f t="shared" si="41"/>
        <v>0</v>
      </c>
      <c r="T94" s="11"/>
      <c r="U94" s="14">
        <f t="shared" si="42"/>
        <v>0</v>
      </c>
      <c r="V94" s="11"/>
      <c r="W94" s="14">
        <f t="shared" si="43"/>
        <v>0</v>
      </c>
      <c r="X94" s="11"/>
      <c r="Y94" s="19">
        <f t="shared" si="44"/>
        <v>0</v>
      </c>
      <c r="Z94" s="13"/>
      <c r="AA94" s="41">
        <v>75398</v>
      </c>
      <c r="AB94" s="38">
        <f>((((((((((AB81)+(AB82))+(AB83))+(AB84))+(AB85))+(AB86))+(AB87))+(AB88))+(AB89))+(AB90))+(AB91)</f>
        <v>73200</v>
      </c>
      <c r="AC94" s="29">
        <f t="shared" si="31"/>
        <v>2198</v>
      </c>
      <c r="AD94" s="32">
        <f t="shared" si="32"/>
        <v>1.0300273224043717</v>
      </c>
      <c r="AE94" s="79">
        <v>75500</v>
      </c>
      <c r="AF94" s="72"/>
    </row>
    <row r="95" spans="1:32">
      <c r="A95" s="1" t="s">
        <v>42</v>
      </c>
      <c r="B95" s="25"/>
      <c r="C95" s="14"/>
      <c r="D95" s="25"/>
      <c r="E95" s="14"/>
      <c r="F95" s="25"/>
      <c r="G95" s="14"/>
      <c r="H95" s="25"/>
      <c r="I95" s="14"/>
      <c r="J95" s="25"/>
      <c r="K95" s="14"/>
      <c r="L95" s="34"/>
      <c r="M95" s="14"/>
      <c r="N95" s="45"/>
      <c r="O95" s="14"/>
      <c r="P95" s="11"/>
      <c r="Q95" s="14"/>
      <c r="R95" s="11"/>
      <c r="S95" s="14"/>
      <c r="T95" s="11"/>
      <c r="U95" s="14"/>
      <c r="V95" s="11"/>
      <c r="W95" s="14"/>
      <c r="X95" s="11"/>
      <c r="Y95" s="19"/>
      <c r="Z95" s="13"/>
      <c r="AA95" s="42">
        <f t="shared" si="45"/>
        <v>0</v>
      </c>
      <c r="AB95" s="39"/>
      <c r="AC95" s="28">
        <f t="shared" si="31"/>
        <v>0</v>
      </c>
      <c r="AD95" s="31" t="str">
        <f t="shared" si="32"/>
        <v/>
      </c>
      <c r="AE95" s="80"/>
      <c r="AF95" s="72"/>
    </row>
    <row r="96" spans="1:32">
      <c r="A96" s="1" t="s">
        <v>43</v>
      </c>
      <c r="B96" s="25"/>
      <c r="C96" s="14">
        <f t="shared" ref="C96:C111" si="46">B96/$AB96</f>
        <v>0</v>
      </c>
      <c r="D96" s="25"/>
      <c r="E96" s="14">
        <f t="shared" ref="E96:E111" si="47">D96/$AB96</f>
        <v>0</v>
      </c>
      <c r="F96" s="25"/>
      <c r="G96" s="14">
        <f t="shared" ref="G96:G111" si="48">F96/$AB96</f>
        <v>0</v>
      </c>
      <c r="H96" s="25"/>
      <c r="I96" s="14">
        <f t="shared" ref="I96:I111" si="49">H96/$AB96</f>
        <v>0</v>
      </c>
      <c r="J96" s="25"/>
      <c r="K96" s="14">
        <f t="shared" ref="K96:K111" si="50">J96/$AB96</f>
        <v>0</v>
      </c>
      <c r="L96" s="34"/>
      <c r="M96" s="14">
        <f t="shared" ref="M96:M111" si="51">L96/$AB96</f>
        <v>0</v>
      </c>
      <c r="N96" s="45"/>
      <c r="O96" s="14">
        <f t="shared" ref="O96:O111" si="52">N96/$AB96</f>
        <v>0</v>
      </c>
      <c r="P96" s="11"/>
      <c r="Q96" s="14">
        <f t="shared" ref="Q96:Q111" si="53">P96/$AB96</f>
        <v>0</v>
      </c>
      <c r="R96" s="11"/>
      <c r="S96" s="14">
        <f t="shared" ref="S96:S111" si="54">R96/$AB96</f>
        <v>0</v>
      </c>
      <c r="T96" s="11"/>
      <c r="U96" s="14">
        <f t="shared" ref="U96:U111" si="55">T96/$AB96</f>
        <v>0</v>
      </c>
      <c r="V96" s="11"/>
      <c r="W96" s="14">
        <f t="shared" ref="W96:W111" si="56">V96/$AB96</f>
        <v>0</v>
      </c>
      <c r="X96" s="11"/>
      <c r="Y96" s="19">
        <f t="shared" ref="Y96:Y111" si="57">X96/$AB96</f>
        <v>0</v>
      </c>
      <c r="Z96" s="13"/>
      <c r="AA96" s="43">
        <f t="shared" si="45"/>
        <v>0</v>
      </c>
      <c r="AB96" s="37">
        <v>250</v>
      </c>
      <c r="AC96" s="28">
        <f t="shared" si="31"/>
        <v>-250</v>
      </c>
      <c r="AD96" s="31">
        <f t="shared" si="32"/>
        <v>0</v>
      </c>
      <c r="AE96" s="78">
        <v>250</v>
      </c>
      <c r="AF96" s="72"/>
    </row>
    <row r="97" spans="1:32">
      <c r="A97" s="1" t="s">
        <v>44</v>
      </c>
      <c r="B97" s="25"/>
      <c r="C97" s="14">
        <f t="shared" si="46"/>
        <v>0</v>
      </c>
      <c r="D97" s="25"/>
      <c r="E97" s="14">
        <f t="shared" si="47"/>
        <v>0</v>
      </c>
      <c r="F97" s="25"/>
      <c r="G97" s="14">
        <f t="shared" si="48"/>
        <v>0</v>
      </c>
      <c r="H97" s="27">
        <f>6493</f>
        <v>6493</v>
      </c>
      <c r="I97" s="14">
        <f t="shared" si="49"/>
        <v>0.81162500000000004</v>
      </c>
      <c r="J97" s="25"/>
      <c r="K97" s="14">
        <f t="shared" si="50"/>
        <v>0</v>
      </c>
      <c r="L97" s="34"/>
      <c r="M97" s="14">
        <f t="shared" si="51"/>
        <v>0</v>
      </c>
      <c r="N97" s="45">
        <v>676.29</v>
      </c>
      <c r="O97" s="14">
        <f t="shared" si="52"/>
        <v>8.4536249999999993E-2</v>
      </c>
      <c r="P97" s="11"/>
      <c r="Q97" s="14">
        <f t="shared" si="53"/>
        <v>0</v>
      </c>
      <c r="R97" s="11"/>
      <c r="S97" s="14">
        <f t="shared" si="54"/>
        <v>0</v>
      </c>
      <c r="T97" s="11"/>
      <c r="U97" s="14">
        <f t="shared" si="55"/>
        <v>0</v>
      </c>
      <c r="V97" s="11"/>
      <c r="W97" s="14">
        <f t="shared" si="56"/>
        <v>0</v>
      </c>
      <c r="X97" s="11"/>
      <c r="Y97" s="19">
        <f t="shared" si="57"/>
        <v>0</v>
      </c>
      <c r="Z97" s="13"/>
      <c r="AA97" s="43">
        <v>9628</v>
      </c>
      <c r="AB97" s="37">
        <v>8000</v>
      </c>
      <c r="AC97" s="28">
        <f t="shared" si="31"/>
        <v>1628</v>
      </c>
      <c r="AD97" s="31">
        <f t="shared" si="32"/>
        <v>1.2035</v>
      </c>
      <c r="AE97" s="78">
        <v>8000</v>
      </c>
      <c r="AF97" s="72" t="s">
        <v>217</v>
      </c>
    </row>
    <row r="98" spans="1:32">
      <c r="A98" s="1" t="s">
        <v>45</v>
      </c>
      <c r="B98" s="25"/>
      <c r="C98" s="14">
        <f t="shared" si="46"/>
        <v>0</v>
      </c>
      <c r="D98" s="27">
        <f>26.4</f>
        <v>26.4</v>
      </c>
      <c r="E98" s="14">
        <f t="shared" si="47"/>
        <v>1.7599999999999998E-2</v>
      </c>
      <c r="F98" s="27">
        <f>736.76</f>
        <v>736.76</v>
      </c>
      <c r="G98" s="14">
        <f t="shared" si="48"/>
        <v>0.49117333333333335</v>
      </c>
      <c r="H98" s="25"/>
      <c r="I98" s="14">
        <f t="shared" si="49"/>
        <v>0</v>
      </c>
      <c r="J98" s="25"/>
      <c r="K98" s="14">
        <f t="shared" si="50"/>
        <v>0</v>
      </c>
      <c r="L98" s="34"/>
      <c r="M98" s="14">
        <f t="shared" si="51"/>
        <v>0</v>
      </c>
      <c r="N98" s="45"/>
      <c r="O98" s="14">
        <f t="shared" si="52"/>
        <v>0</v>
      </c>
      <c r="P98" s="11"/>
      <c r="Q98" s="14">
        <f t="shared" si="53"/>
        <v>0</v>
      </c>
      <c r="R98" s="11"/>
      <c r="S98" s="14">
        <f t="shared" si="54"/>
        <v>0</v>
      </c>
      <c r="T98" s="11"/>
      <c r="U98" s="14">
        <f t="shared" si="55"/>
        <v>0</v>
      </c>
      <c r="V98" s="11"/>
      <c r="W98" s="14">
        <f t="shared" si="56"/>
        <v>0</v>
      </c>
      <c r="X98" s="11"/>
      <c r="Y98" s="19">
        <f t="shared" si="57"/>
        <v>0</v>
      </c>
      <c r="Z98" s="13"/>
      <c r="AA98" s="43">
        <f t="shared" si="45"/>
        <v>763.16</v>
      </c>
      <c r="AB98" s="37">
        <v>1500</v>
      </c>
      <c r="AC98" s="28">
        <f t="shared" si="31"/>
        <v>-736.84</v>
      </c>
      <c r="AD98" s="31">
        <f t="shared" si="32"/>
        <v>0.5087733333333333</v>
      </c>
      <c r="AE98" s="78">
        <v>1500</v>
      </c>
      <c r="AF98" s="72"/>
    </row>
    <row r="99" spans="1:32" ht="18" customHeight="1">
      <c r="A99" s="48" t="s">
        <v>167</v>
      </c>
      <c r="B99" s="27">
        <f>2990.6</f>
        <v>2990.6</v>
      </c>
      <c r="C99" s="14">
        <f t="shared" si="46"/>
        <v>8.0827027027027029E-2</v>
      </c>
      <c r="D99" s="27">
        <f>4170.06</f>
        <v>4170.0600000000004</v>
      </c>
      <c r="E99" s="14">
        <f t="shared" si="47"/>
        <v>0.11270432432432434</v>
      </c>
      <c r="F99" s="27">
        <f>1185</f>
        <v>1185</v>
      </c>
      <c r="G99" s="14">
        <f t="shared" si="48"/>
        <v>3.2027027027027026E-2</v>
      </c>
      <c r="H99" s="27">
        <f>2137</f>
        <v>2137</v>
      </c>
      <c r="I99" s="14">
        <f t="shared" si="49"/>
        <v>5.7756756756756754E-2</v>
      </c>
      <c r="J99" s="27">
        <f>722.08</f>
        <v>722.08</v>
      </c>
      <c r="K99" s="14">
        <f t="shared" si="50"/>
        <v>1.9515675675675678E-2</v>
      </c>
      <c r="L99" s="36">
        <f>1260</f>
        <v>1260</v>
      </c>
      <c r="M99" s="14">
        <f t="shared" si="51"/>
        <v>3.4054054054054053E-2</v>
      </c>
      <c r="N99" s="45">
        <v>1180</v>
      </c>
      <c r="O99" s="14">
        <f t="shared" si="52"/>
        <v>3.1891891891891892E-2</v>
      </c>
      <c r="P99" s="11"/>
      <c r="Q99" s="14">
        <f t="shared" si="53"/>
        <v>0</v>
      </c>
      <c r="R99" s="11"/>
      <c r="S99" s="14">
        <f t="shared" si="54"/>
        <v>0</v>
      </c>
      <c r="T99" s="11"/>
      <c r="U99" s="14">
        <f t="shared" si="55"/>
        <v>0</v>
      </c>
      <c r="V99" s="11"/>
      <c r="W99" s="14">
        <f t="shared" si="56"/>
        <v>0</v>
      </c>
      <c r="X99" s="11"/>
      <c r="Y99" s="19">
        <f t="shared" si="57"/>
        <v>0</v>
      </c>
      <c r="Z99" s="13"/>
      <c r="AA99" s="43">
        <v>32815</v>
      </c>
      <c r="AB99" s="37">
        <v>37000</v>
      </c>
      <c r="AC99" s="28">
        <f t="shared" si="31"/>
        <v>-4185</v>
      </c>
      <c r="AD99" s="31">
        <f t="shared" si="32"/>
        <v>0.88689189189189188</v>
      </c>
      <c r="AE99" s="78">
        <v>47000</v>
      </c>
      <c r="AF99" s="74" t="s">
        <v>168</v>
      </c>
    </row>
    <row r="100" spans="1:32" s="7" customFormat="1" ht="18" customHeight="1">
      <c r="A100" s="1"/>
      <c r="B100" s="27"/>
      <c r="C100" s="14"/>
      <c r="D100" s="27"/>
      <c r="E100" s="14"/>
      <c r="F100" s="27"/>
      <c r="G100" s="14"/>
      <c r="H100" s="27"/>
      <c r="I100" s="14"/>
      <c r="J100" s="27"/>
      <c r="K100" s="14"/>
      <c r="L100" s="36"/>
      <c r="M100" s="14"/>
      <c r="N100" s="45"/>
      <c r="O100" s="14"/>
      <c r="P100" s="11"/>
      <c r="Q100" s="14"/>
      <c r="R100" s="11"/>
      <c r="S100" s="14"/>
      <c r="T100" s="11"/>
      <c r="U100" s="14"/>
      <c r="V100" s="11"/>
      <c r="W100" s="14"/>
      <c r="X100" s="11"/>
      <c r="Y100" s="19"/>
      <c r="Z100" s="13"/>
      <c r="AA100" s="43"/>
      <c r="AB100" s="37"/>
      <c r="AC100" s="28"/>
      <c r="AD100" s="31"/>
      <c r="AE100" s="78"/>
      <c r="AF100" s="74" t="s">
        <v>183</v>
      </c>
    </row>
    <row r="101" spans="1:32">
      <c r="A101" s="48" t="s">
        <v>47</v>
      </c>
      <c r="B101" s="25"/>
      <c r="C101" s="14">
        <f t="shared" si="46"/>
        <v>0</v>
      </c>
      <c r="D101" s="27">
        <f>300</f>
        <v>300</v>
      </c>
      <c r="E101" s="14">
        <f t="shared" si="47"/>
        <v>6.1817432515969502E-2</v>
      </c>
      <c r="F101" s="25"/>
      <c r="G101" s="14">
        <f t="shared" si="48"/>
        <v>0</v>
      </c>
      <c r="H101" s="27">
        <f>300</f>
        <v>300</v>
      </c>
      <c r="I101" s="14">
        <f t="shared" si="49"/>
        <v>6.1817432515969502E-2</v>
      </c>
      <c r="J101" s="25"/>
      <c r="K101" s="14">
        <f t="shared" si="50"/>
        <v>0</v>
      </c>
      <c r="L101" s="34"/>
      <c r="M101" s="14">
        <f t="shared" si="51"/>
        <v>0</v>
      </c>
      <c r="N101" s="45">
        <v>300</v>
      </c>
      <c r="O101" s="14">
        <f t="shared" si="52"/>
        <v>6.1817432515969502E-2</v>
      </c>
      <c r="P101" s="11"/>
      <c r="Q101" s="14">
        <f t="shared" si="53"/>
        <v>0</v>
      </c>
      <c r="R101" s="11"/>
      <c r="S101" s="14">
        <f t="shared" si="54"/>
        <v>0</v>
      </c>
      <c r="T101" s="11"/>
      <c r="U101" s="14">
        <f t="shared" si="55"/>
        <v>0</v>
      </c>
      <c r="V101" s="11"/>
      <c r="W101" s="14">
        <f t="shared" si="56"/>
        <v>0</v>
      </c>
      <c r="X101" s="11"/>
      <c r="Y101" s="19">
        <f t="shared" si="57"/>
        <v>0</v>
      </c>
      <c r="Z101" s="13"/>
      <c r="AA101" s="43">
        <v>1200</v>
      </c>
      <c r="AB101" s="37">
        <v>4853</v>
      </c>
      <c r="AC101" s="28">
        <f t="shared" si="31"/>
        <v>-3653</v>
      </c>
      <c r="AD101" s="31">
        <f t="shared" si="32"/>
        <v>0.24726973006387801</v>
      </c>
      <c r="AE101" s="81">
        <v>0</v>
      </c>
      <c r="AF101" s="73" t="s">
        <v>191</v>
      </c>
    </row>
    <row r="102" spans="1:32" s="7" customFormat="1">
      <c r="A102" s="1"/>
      <c r="B102" s="25"/>
      <c r="C102" s="14"/>
      <c r="D102" s="27"/>
      <c r="E102" s="14"/>
      <c r="F102" s="25"/>
      <c r="G102" s="14"/>
      <c r="H102" s="27"/>
      <c r="I102" s="14"/>
      <c r="J102" s="25"/>
      <c r="K102" s="14"/>
      <c r="L102" s="34"/>
      <c r="M102" s="14"/>
      <c r="N102" s="45"/>
      <c r="O102" s="14"/>
      <c r="P102" s="11"/>
      <c r="Q102" s="14"/>
      <c r="R102" s="11"/>
      <c r="S102" s="14"/>
      <c r="T102" s="11"/>
      <c r="U102" s="14"/>
      <c r="V102" s="11"/>
      <c r="W102" s="14"/>
      <c r="X102" s="11"/>
      <c r="Y102" s="19"/>
      <c r="Z102" s="13"/>
      <c r="AA102" s="43"/>
      <c r="AB102" s="37"/>
      <c r="AC102" s="28"/>
      <c r="AD102" s="31"/>
      <c r="AE102" s="81"/>
      <c r="AF102" s="73" t="s">
        <v>192</v>
      </c>
    </row>
    <row r="103" spans="1:32" ht="29" customHeight="1">
      <c r="A103" s="48" t="s">
        <v>48</v>
      </c>
      <c r="B103" s="25"/>
      <c r="C103" s="14">
        <f t="shared" si="46"/>
        <v>0</v>
      </c>
      <c r="D103" s="25"/>
      <c r="E103" s="14">
        <f t="shared" si="47"/>
        <v>0</v>
      </c>
      <c r="F103" s="25"/>
      <c r="G103" s="14">
        <f t="shared" si="48"/>
        <v>0</v>
      </c>
      <c r="H103" s="25"/>
      <c r="I103" s="14">
        <f t="shared" si="49"/>
        <v>0</v>
      </c>
      <c r="J103" s="25"/>
      <c r="K103" s="14">
        <f t="shared" si="50"/>
        <v>0</v>
      </c>
      <c r="L103" s="34"/>
      <c r="M103" s="14">
        <f t="shared" si="51"/>
        <v>0</v>
      </c>
      <c r="N103" s="45"/>
      <c r="O103" s="14">
        <f t="shared" si="52"/>
        <v>0</v>
      </c>
      <c r="P103" s="11"/>
      <c r="Q103" s="14">
        <f t="shared" si="53"/>
        <v>0</v>
      </c>
      <c r="R103" s="11"/>
      <c r="S103" s="14">
        <f t="shared" si="54"/>
        <v>0</v>
      </c>
      <c r="T103" s="11"/>
      <c r="U103" s="14">
        <f t="shared" si="55"/>
        <v>0</v>
      </c>
      <c r="V103" s="11"/>
      <c r="W103" s="14">
        <f t="shared" si="56"/>
        <v>0</v>
      </c>
      <c r="X103" s="11"/>
      <c r="Y103" s="19">
        <f t="shared" si="57"/>
        <v>0</v>
      </c>
      <c r="Z103" s="13"/>
      <c r="AA103" s="43">
        <f t="shared" si="45"/>
        <v>0</v>
      </c>
      <c r="AB103" s="37">
        <v>5000</v>
      </c>
      <c r="AC103" s="28">
        <f t="shared" si="31"/>
        <v>-5000</v>
      </c>
      <c r="AD103" s="31">
        <f t="shared" si="32"/>
        <v>0</v>
      </c>
      <c r="AE103" s="78">
        <v>1000</v>
      </c>
      <c r="AF103" s="72" t="s">
        <v>184</v>
      </c>
    </row>
    <row r="104" spans="1:32">
      <c r="A104" s="1" t="s">
        <v>49</v>
      </c>
      <c r="B104" s="25"/>
      <c r="C104" s="14">
        <f t="shared" si="46"/>
        <v>0</v>
      </c>
      <c r="D104" s="25"/>
      <c r="E104" s="14">
        <f t="shared" si="47"/>
        <v>0</v>
      </c>
      <c r="F104" s="25"/>
      <c r="G104" s="14">
        <f t="shared" si="48"/>
        <v>0</v>
      </c>
      <c r="H104" s="25"/>
      <c r="I104" s="14">
        <f t="shared" si="49"/>
        <v>0</v>
      </c>
      <c r="J104" s="25"/>
      <c r="K104" s="14">
        <f t="shared" si="50"/>
        <v>0</v>
      </c>
      <c r="L104" s="34"/>
      <c r="M104" s="14">
        <f t="shared" si="51"/>
        <v>0</v>
      </c>
      <c r="N104" s="45"/>
      <c r="O104" s="14">
        <f t="shared" si="52"/>
        <v>0</v>
      </c>
      <c r="P104" s="11"/>
      <c r="Q104" s="14">
        <f t="shared" si="53"/>
        <v>0</v>
      </c>
      <c r="R104" s="11"/>
      <c r="S104" s="14">
        <f t="shared" si="54"/>
        <v>0</v>
      </c>
      <c r="T104" s="11"/>
      <c r="U104" s="14">
        <f t="shared" si="55"/>
        <v>0</v>
      </c>
      <c r="V104" s="11"/>
      <c r="W104" s="14">
        <f t="shared" si="56"/>
        <v>0</v>
      </c>
      <c r="X104" s="11"/>
      <c r="Y104" s="19">
        <f t="shared" si="57"/>
        <v>0</v>
      </c>
      <c r="Z104" s="13"/>
      <c r="AA104" s="43">
        <f t="shared" si="45"/>
        <v>0</v>
      </c>
      <c r="AB104" s="37">
        <v>1500</v>
      </c>
      <c r="AC104" s="28">
        <f t="shared" si="31"/>
        <v>-1500</v>
      </c>
      <c r="AD104" s="31">
        <f t="shared" si="32"/>
        <v>0</v>
      </c>
      <c r="AE104" s="78">
        <v>1500</v>
      </c>
      <c r="AF104" s="72"/>
    </row>
    <row r="105" spans="1:32">
      <c r="A105" s="48" t="s">
        <v>50</v>
      </c>
      <c r="B105" s="27">
        <f>20</f>
        <v>20</v>
      </c>
      <c r="C105" s="14">
        <f t="shared" si="46"/>
        <v>8.3333333333333329E-2</v>
      </c>
      <c r="D105" s="25"/>
      <c r="E105" s="14">
        <f t="shared" si="47"/>
        <v>0</v>
      </c>
      <c r="F105" s="25"/>
      <c r="G105" s="14">
        <f t="shared" si="48"/>
        <v>0</v>
      </c>
      <c r="H105" s="25"/>
      <c r="I105" s="14">
        <f t="shared" si="49"/>
        <v>0</v>
      </c>
      <c r="J105" s="27">
        <f>125</f>
        <v>125</v>
      </c>
      <c r="K105" s="14">
        <f t="shared" si="50"/>
        <v>0.52083333333333337</v>
      </c>
      <c r="L105" s="34"/>
      <c r="M105" s="14">
        <f t="shared" si="51"/>
        <v>0</v>
      </c>
      <c r="N105" s="45"/>
      <c r="O105" s="14">
        <f t="shared" si="52"/>
        <v>0</v>
      </c>
      <c r="P105" s="11"/>
      <c r="Q105" s="14">
        <f t="shared" si="53"/>
        <v>0</v>
      </c>
      <c r="R105" s="11"/>
      <c r="S105" s="14">
        <f t="shared" si="54"/>
        <v>0</v>
      </c>
      <c r="T105" s="11"/>
      <c r="U105" s="14">
        <f t="shared" si="55"/>
        <v>0</v>
      </c>
      <c r="V105" s="11"/>
      <c r="W105" s="14">
        <f t="shared" si="56"/>
        <v>0</v>
      </c>
      <c r="X105" s="11"/>
      <c r="Y105" s="19">
        <f t="shared" si="57"/>
        <v>0</v>
      </c>
      <c r="Z105" s="13"/>
      <c r="AA105" s="43">
        <v>345</v>
      </c>
      <c r="AB105" s="37">
        <v>240</v>
      </c>
      <c r="AC105" s="28">
        <f t="shared" si="31"/>
        <v>105</v>
      </c>
      <c r="AD105" s="31">
        <f t="shared" si="32"/>
        <v>1.4375</v>
      </c>
      <c r="AE105" s="78">
        <v>300</v>
      </c>
      <c r="AF105" s="72" t="s">
        <v>222</v>
      </c>
    </row>
    <row r="106" spans="1:32">
      <c r="A106" s="48" t="s">
        <v>51</v>
      </c>
      <c r="B106" s="25"/>
      <c r="C106" s="14">
        <f t="shared" si="46"/>
        <v>0</v>
      </c>
      <c r="D106" s="25"/>
      <c r="E106" s="14">
        <f t="shared" si="47"/>
        <v>0</v>
      </c>
      <c r="F106" s="25"/>
      <c r="G106" s="14">
        <f t="shared" si="48"/>
        <v>0</v>
      </c>
      <c r="H106" s="25"/>
      <c r="I106" s="14">
        <f t="shared" si="49"/>
        <v>0</v>
      </c>
      <c r="J106" s="27">
        <f>10000</f>
        <v>10000</v>
      </c>
      <c r="K106" s="14">
        <f t="shared" si="50"/>
        <v>1</v>
      </c>
      <c r="L106" s="34"/>
      <c r="M106" s="14">
        <f t="shared" si="51"/>
        <v>0</v>
      </c>
      <c r="N106" s="45"/>
      <c r="O106" s="14">
        <f t="shared" si="52"/>
        <v>0</v>
      </c>
      <c r="P106" s="11"/>
      <c r="Q106" s="14">
        <f t="shared" si="53"/>
        <v>0</v>
      </c>
      <c r="R106" s="11"/>
      <c r="S106" s="14">
        <f t="shared" si="54"/>
        <v>0</v>
      </c>
      <c r="T106" s="11"/>
      <c r="U106" s="14">
        <f t="shared" si="55"/>
        <v>0</v>
      </c>
      <c r="V106" s="11"/>
      <c r="W106" s="14">
        <f t="shared" si="56"/>
        <v>0</v>
      </c>
      <c r="X106" s="11"/>
      <c r="Y106" s="19">
        <f t="shared" si="57"/>
        <v>0</v>
      </c>
      <c r="Z106" s="13"/>
      <c r="AA106" s="43">
        <f t="shared" si="45"/>
        <v>10000</v>
      </c>
      <c r="AB106" s="37">
        <v>10000</v>
      </c>
      <c r="AC106" s="28">
        <f t="shared" si="31"/>
        <v>0</v>
      </c>
      <c r="AD106" s="31">
        <f t="shared" si="32"/>
        <v>1</v>
      </c>
      <c r="AE106" s="78">
        <v>0</v>
      </c>
      <c r="AF106" s="72" t="s">
        <v>185</v>
      </c>
    </row>
    <row r="107" spans="1:32">
      <c r="A107" s="48" t="s">
        <v>52</v>
      </c>
      <c r="B107" s="27">
        <f>1040.4</f>
        <v>1040.4000000000001</v>
      </c>
      <c r="C107" s="14">
        <f t="shared" si="46"/>
        <v>0.34680000000000005</v>
      </c>
      <c r="D107" s="25"/>
      <c r="E107" s="14">
        <f t="shared" si="47"/>
        <v>0</v>
      </c>
      <c r="F107" s="25"/>
      <c r="G107" s="14">
        <f t="shared" si="48"/>
        <v>0</v>
      </c>
      <c r="H107" s="25"/>
      <c r="I107" s="14">
        <f t="shared" si="49"/>
        <v>0</v>
      </c>
      <c r="J107" s="25"/>
      <c r="K107" s="14">
        <f t="shared" si="50"/>
        <v>0</v>
      </c>
      <c r="L107" s="34"/>
      <c r="M107" s="14">
        <f t="shared" si="51"/>
        <v>0</v>
      </c>
      <c r="N107" s="45"/>
      <c r="O107" s="14">
        <f t="shared" si="52"/>
        <v>0</v>
      </c>
      <c r="P107" s="11"/>
      <c r="Q107" s="14">
        <f t="shared" si="53"/>
        <v>0</v>
      </c>
      <c r="R107" s="11"/>
      <c r="S107" s="14">
        <f t="shared" si="54"/>
        <v>0</v>
      </c>
      <c r="T107" s="11"/>
      <c r="U107" s="14">
        <f t="shared" si="55"/>
        <v>0</v>
      </c>
      <c r="V107" s="11"/>
      <c r="W107" s="14">
        <f t="shared" si="56"/>
        <v>0</v>
      </c>
      <c r="X107" s="11"/>
      <c r="Y107" s="19">
        <f t="shared" si="57"/>
        <v>0</v>
      </c>
      <c r="Z107" s="13"/>
      <c r="AA107" s="43">
        <f t="shared" si="45"/>
        <v>1040.4000000000001</v>
      </c>
      <c r="AB107" s="37">
        <v>3000</v>
      </c>
      <c r="AC107" s="28">
        <f t="shared" si="31"/>
        <v>-1959.6</v>
      </c>
      <c r="AD107" s="31">
        <f t="shared" si="32"/>
        <v>0.34680000000000005</v>
      </c>
      <c r="AE107" s="78">
        <v>0</v>
      </c>
      <c r="AF107" s="74" t="s">
        <v>170</v>
      </c>
    </row>
    <row r="108" spans="1:32" s="7" customFormat="1">
      <c r="A108" s="48" t="s">
        <v>171</v>
      </c>
      <c r="B108" s="27"/>
      <c r="C108" s="14"/>
      <c r="D108" s="25"/>
      <c r="E108" s="14"/>
      <c r="F108" s="25"/>
      <c r="G108" s="14"/>
      <c r="H108" s="25"/>
      <c r="I108" s="14"/>
      <c r="J108" s="25"/>
      <c r="K108" s="14"/>
      <c r="L108" s="34"/>
      <c r="M108" s="14"/>
      <c r="N108" s="45"/>
      <c r="O108" s="14"/>
      <c r="P108" s="11"/>
      <c r="Q108" s="14"/>
      <c r="R108" s="11"/>
      <c r="S108" s="14"/>
      <c r="T108" s="11"/>
      <c r="U108" s="14"/>
      <c r="V108" s="11"/>
      <c r="W108" s="14"/>
      <c r="X108" s="11"/>
      <c r="Y108" s="19"/>
      <c r="Z108" s="13"/>
      <c r="AA108" s="43"/>
      <c r="AB108" s="37"/>
      <c r="AC108" s="28"/>
      <c r="AD108" s="31"/>
      <c r="AE108" s="78">
        <v>1000</v>
      </c>
      <c r="AF108" s="74" t="s">
        <v>187</v>
      </c>
    </row>
    <row r="109" spans="1:32" s="7" customFormat="1">
      <c r="A109" s="48"/>
      <c r="B109" s="27"/>
      <c r="C109" s="14"/>
      <c r="D109" s="25"/>
      <c r="E109" s="14"/>
      <c r="F109" s="25"/>
      <c r="G109" s="14"/>
      <c r="H109" s="25"/>
      <c r="I109" s="14"/>
      <c r="J109" s="25"/>
      <c r="K109" s="14"/>
      <c r="L109" s="34"/>
      <c r="M109" s="14"/>
      <c r="N109" s="45"/>
      <c r="O109" s="14"/>
      <c r="P109" s="11"/>
      <c r="Q109" s="14"/>
      <c r="R109" s="11"/>
      <c r="S109" s="14"/>
      <c r="T109" s="11"/>
      <c r="U109" s="14"/>
      <c r="V109" s="11"/>
      <c r="W109" s="14"/>
      <c r="X109" s="11"/>
      <c r="Y109" s="19"/>
      <c r="Z109" s="13"/>
      <c r="AA109" s="43"/>
      <c r="AB109" s="37"/>
      <c r="AC109" s="28"/>
      <c r="AD109" s="31"/>
      <c r="AE109" s="78"/>
      <c r="AF109" s="74" t="s">
        <v>186</v>
      </c>
    </row>
    <row r="110" spans="1:32" s="7" customFormat="1">
      <c r="A110" s="48"/>
      <c r="B110" s="27"/>
      <c r="C110" s="14"/>
      <c r="D110" s="25"/>
      <c r="E110" s="14"/>
      <c r="F110" s="25"/>
      <c r="G110" s="14"/>
      <c r="H110" s="25"/>
      <c r="I110" s="14"/>
      <c r="J110" s="25"/>
      <c r="K110" s="14"/>
      <c r="L110" s="34"/>
      <c r="M110" s="14"/>
      <c r="N110" s="45"/>
      <c r="O110" s="14"/>
      <c r="P110" s="11"/>
      <c r="Q110" s="14"/>
      <c r="R110" s="11"/>
      <c r="S110" s="14"/>
      <c r="T110" s="11"/>
      <c r="U110" s="14"/>
      <c r="V110" s="11"/>
      <c r="W110" s="14"/>
      <c r="X110" s="11"/>
      <c r="Y110" s="19"/>
      <c r="Z110" s="13"/>
      <c r="AA110" s="43"/>
      <c r="AB110" s="37"/>
      <c r="AC110" s="28"/>
      <c r="AD110" s="31"/>
      <c r="AE110" s="78"/>
      <c r="AF110" s="74" t="s">
        <v>180</v>
      </c>
    </row>
    <row r="111" spans="1:32">
      <c r="A111" s="1" t="s">
        <v>53</v>
      </c>
      <c r="B111" s="26">
        <f>((((((((((B95)+(B96))+(B97))+(B98))+(B99))+(B101))+(B103))+(B104))+(B105))+(B106))+(B107)</f>
        <v>4051</v>
      </c>
      <c r="C111" s="14">
        <f t="shared" si="46"/>
        <v>5.6782024865789218E-2</v>
      </c>
      <c r="D111" s="26">
        <f>((((((((((D95)+(D96))+(D97))+(D98))+(D99))+(D101))+(D103))+(D104))+(D105))+(D106))+(D107)</f>
        <v>4496.46</v>
      </c>
      <c r="E111" s="14">
        <f t="shared" si="47"/>
        <v>6.302594508220849E-2</v>
      </c>
      <c r="F111" s="26">
        <f>((((((((((F95)+(F96))+(F97))+(F98))+(F99))+(F101))+(F103))+(F104))+(F105))+(F106))+(F107)</f>
        <v>1921.76</v>
      </c>
      <c r="G111" s="14">
        <f t="shared" si="48"/>
        <v>2.693691041868158E-2</v>
      </c>
      <c r="H111" s="26">
        <f>((((((((((H95)+(H96))+(H97))+(H98))+(H99))+(H101))+(H103))+(H104))+(H105))+(H106))+(H107)</f>
        <v>8930</v>
      </c>
      <c r="I111" s="14">
        <f t="shared" si="49"/>
        <v>0.1251699536044181</v>
      </c>
      <c r="J111" s="26">
        <f>((((((((((J95)+(J96))+(J97))+(J98))+(J99))+(J101))+(J103))+(J104))+(J105))+(J106))+(J107)</f>
        <v>10847.08</v>
      </c>
      <c r="K111" s="14">
        <f t="shared" si="50"/>
        <v>0.15204126543599231</v>
      </c>
      <c r="L111" s="35">
        <f>((((((((((L95)+(L96))+(L97))+(L98))+(L99))+(L101))+(L103))+(L104))+(L105))+(L106))+(L107)</f>
        <v>1260</v>
      </c>
      <c r="M111" s="14">
        <f t="shared" si="51"/>
        <v>1.7661158067364704E-2</v>
      </c>
      <c r="N111" s="45">
        <v>2156.29</v>
      </c>
      <c r="O111" s="14">
        <f t="shared" si="52"/>
        <v>3.0224268673871298E-2</v>
      </c>
      <c r="P111" s="11"/>
      <c r="Q111" s="14">
        <f t="shared" si="53"/>
        <v>0</v>
      </c>
      <c r="R111" s="11"/>
      <c r="S111" s="14">
        <f t="shared" si="54"/>
        <v>0</v>
      </c>
      <c r="T111" s="11"/>
      <c r="U111" s="14">
        <f t="shared" si="55"/>
        <v>0</v>
      </c>
      <c r="V111" s="11"/>
      <c r="W111" s="14">
        <f t="shared" si="56"/>
        <v>0</v>
      </c>
      <c r="X111" s="11"/>
      <c r="Y111" s="19">
        <f t="shared" si="57"/>
        <v>0</v>
      </c>
      <c r="Z111" s="13"/>
      <c r="AA111" s="41">
        <v>55793</v>
      </c>
      <c r="AB111" s="38">
        <f>((((((((((AB95)+(AB96))+(AB97))+(AB98))+(AB99))+(AB101))+(AB103))+(AB104))+(AB105))+(AB106))+(AB107)</f>
        <v>71343</v>
      </c>
      <c r="AC111" s="29">
        <f t="shared" si="31"/>
        <v>-15550</v>
      </c>
      <c r="AD111" s="32">
        <f t="shared" si="32"/>
        <v>0.78203888258133247</v>
      </c>
      <c r="AE111" s="79">
        <v>60550</v>
      </c>
      <c r="AF111" s="72"/>
    </row>
    <row r="112" spans="1:32">
      <c r="A112" s="52" t="s">
        <v>54</v>
      </c>
      <c r="B112" s="25"/>
      <c r="C112" s="14"/>
      <c r="D112" s="25"/>
      <c r="E112" s="14"/>
      <c r="F112" s="25"/>
      <c r="G112" s="14"/>
      <c r="H112" s="25"/>
      <c r="I112" s="14"/>
      <c r="J112" s="25"/>
      <c r="K112" s="14"/>
      <c r="L112" s="34"/>
      <c r="M112" s="14"/>
      <c r="N112" s="45"/>
      <c r="O112" s="14"/>
      <c r="P112" s="11"/>
      <c r="Q112" s="14"/>
      <c r="R112" s="11"/>
      <c r="S112" s="14"/>
      <c r="T112" s="11"/>
      <c r="U112" s="14"/>
      <c r="V112" s="11"/>
      <c r="W112" s="14"/>
      <c r="X112" s="11"/>
      <c r="Y112" s="19"/>
      <c r="Z112" s="13"/>
      <c r="AA112" s="42">
        <f t="shared" si="45"/>
        <v>0</v>
      </c>
      <c r="AB112" s="39"/>
      <c r="AC112" s="28">
        <f t="shared" si="31"/>
        <v>0</v>
      </c>
      <c r="AD112" s="31" t="str">
        <f t="shared" si="32"/>
        <v/>
      </c>
      <c r="AE112" s="80"/>
      <c r="AF112" s="72"/>
    </row>
    <row r="113" spans="1:32">
      <c r="A113" s="48" t="s">
        <v>55</v>
      </c>
      <c r="B113" s="27">
        <f>2708.64</f>
        <v>2708.64</v>
      </c>
      <c r="C113" s="14">
        <f t="shared" ref="C113:C122" si="58">B113/$AB113</f>
        <v>5.0104328523862374E-2</v>
      </c>
      <c r="D113" s="25"/>
      <c r="E113" s="14">
        <f t="shared" ref="E113:E122" si="59">D113/$AB113</f>
        <v>0</v>
      </c>
      <c r="F113" s="27">
        <f>16206.6</f>
        <v>16206.6</v>
      </c>
      <c r="G113" s="14">
        <f t="shared" ref="G113:G122" si="60">F113/$AB113</f>
        <v>0.2997891231964484</v>
      </c>
      <c r="H113" s="25"/>
      <c r="I113" s="14">
        <f t="shared" ref="I113:I122" si="61">H113/$AB113</f>
        <v>0</v>
      </c>
      <c r="J113" s="27">
        <f>18678.78</f>
        <v>18678.78</v>
      </c>
      <c r="K113" s="14">
        <f t="shared" ref="K113:K122" si="62">J113/$AB113</f>
        <v>0.34551942286348497</v>
      </c>
      <c r="L113" s="34"/>
      <c r="M113" s="14">
        <f t="shared" ref="M113:M122" si="63">L113/$AB113</f>
        <v>0</v>
      </c>
      <c r="N113" s="45">
        <v>15320.83</v>
      </c>
      <c r="O113" s="14">
        <f t="shared" ref="O113:O122" si="64">N113/$AB113</f>
        <v>0.2834041805401406</v>
      </c>
      <c r="P113" s="11"/>
      <c r="Q113" s="14">
        <f t="shared" ref="Q113:Q122" si="65">P113/$AB113</f>
        <v>0</v>
      </c>
      <c r="R113" s="11"/>
      <c r="S113" s="14">
        <f t="shared" ref="S113:S122" si="66">R113/$AB113</f>
        <v>0</v>
      </c>
      <c r="T113" s="11"/>
      <c r="U113" s="14">
        <f t="shared" ref="U113:U122" si="67">T113/$AB113</f>
        <v>0</v>
      </c>
      <c r="V113" s="11"/>
      <c r="W113" s="14">
        <f t="shared" ref="W113:W122" si="68">V113/$AB113</f>
        <v>0</v>
      </c>
      <c r="X113" s="11"/>
      <c r="Y113" s="19">
        <f t="shared" ref="Y113:Y122" si="69">X113/$AB113</f>
        <v>0</v>
      </c>
      <c r="Z113" s="13"/>
      <c r="AA113" s="43">
        <v>67389</v>
      </c>
      <c r="AB113" s="37">
        <v>54060</v>
      </c>
      <c r="AC113" s="28">
        <f t="shared" si="31"/>
        <v>13329</v>
      </c>
      <c r="AD113" s="31">
        <f t="shared" si="32"/>
        <v>1.2465593784683684</v>
      </c>
      <c r="AE113" s="81">
        <v>64600</v>
      </c>
      <c r="AF113" s="75" t="s">
        <v>195</v>
      </c>
    </row>
    <row r="114" spans="1:32">
      <c r="A114" s="1" t="s">
        <v>56</v>
      </c>
      <c r="B114" s="25"/>
      <c r="C114" s="14">
        <f t="shared" si="58"/>
        <v>0</v>
      </c>
      <c r="D114" s="27">
        <f>3221</f>
        <v>3221</v>
      </c>
      <c r="E114" s="14">
        <f t="shared" si="59"/>
        <v>0.99107692307692308</v>
      </c>
      <c r="F114" s="25"/>
      <c r="G114" s="14">
        <f t="shared" si="60"/>
        <v>0</v>
      </c>
      <c r="H114" s="25"/>
      <c r="I114" s="14">
        <f t="shared" si="61"/>
        <v>0</v>
      </c>
      <c r="J114" s="25"/>
      <c r="K114" s="14">
        <f t="shared" si="62"/>
        <v>0</v>
      </c>
      <c r="L114" s="34"/>
      <c r="M114" s="14">
        <f t="shared" si="63"/>
        <v>0</v>
      </c>
      <c r="N114" s="45"/>
      <c r="O114" s="14">
        <f t="shared" si="64"/>
        <v>0</v>
      </c>
      <c r="P114" s="11"/>
      <c r="Q114" s="14">
        <f t="shared" si="65"/>
        <v>0</v>
      </c>
      <c r="R114" s="11"/>
      <c r="S114" s="14">
        <f t="shared" si="66"/>
        <v>0</v>
      </c>
      <c r="T114" s="11"/>
      <c r="U114" s="14">
        <f t="shared" si="67"/>
        <v>0</v>
      </c>
      <c r="V114" s="11"/>
      <c r="W114" s="14">
        <f t="shared" si="68"/>
        <v>0</v>
      </c>
      <c r="X114" s="11"/>
      <c r="Y114" s="19">
        <f t="shared" si="69"/>
        <v>0</v>
      </c>
      <c r="Z114" s="13"/>
      <c r="AA114" s="43">
        <f t="shared" si="45"/>
        <v>3221</v>
      </c>
      <c r="AB114" s="37">
        <v>3250</v>
      </c>
      <c r="AC114" s="28">
        <f t="shared" si="31"/>
        <v>-29</v>
      </c>
      <c r="AD114" s="31">
        <f t="shared" si="32"/>
        <v>0.99107692307692308</v>
      </c>
      <c r="AE114" s="78">
        <v>3250</v>
      </c>
      <c r="AF114" s="72"/>
    </row>
    <row r="115" spans="1:32" ht="27" customHeight="1">
      <c r="A115" s="63" t="s">
        <v>57</v>
      </c>
      <c r="B115" s="25"/>
      <c r="C115" s="14">
        <f t="shared" si="58"/>
        <v>0</v>
      </c>
      <c r="D115" s="25"/>
      <c r="E115" s="14">
        <f t="shared" si="59"/>
        <v>0</v>
      </c>
      <c r="F115" s="25"/>
      <c r="G115" s="14">
        <f t="shared" si="60"/>
        <v>0</v>
      </c>
      <c r="H115" s="25"/>
      <c r="I115" s="14">
        <f t="shared" si="61"/>
        <v>0</v>
      </c>
      <c r="J115" s="25"/>
      <c r="K115" s="14">
        <f t="shared" si="62"/>
        <v>0</v>
      </c>
      <c r="L115" s="34"/>
      <c r="M115" s="14">
        <f t="shared" si="63"/>
        <v>0</v>
      </c>
      <c r="N115" s="45"/>
      <c r="O115" s="14">
        <f t="shared" si="64"/>
        <v>0</v>
      </c>
      <c r="P115" s="11"/>
      <c r="Q115" s="14">
        <f t="shared" si="65"/>
        <v>0</v>
      </c>
      <c r="R115" s="11"/>
      <c r="S115" s="14">
        <f t="shared" si="66"/>
        <v>0</v>
      </c>
      <c r="T115" s="11"/>
      <c r="U115" s="14">
        <f t="shared" si="67"/>
        <v>0</v>
      </c>
      <c r="V115" s="11"/>
      <c r="W115" s="14">
        <f t="shared" si="68"/>
        <v>0</v>
      </c>
      <c r="X115" s="11"/>
      <c r="Y115" s="19">
        <f t="shared" si="69"/>
        <v>0</v>
      </c>
      <c r="Z115" s="13"/>
      <c r="AA115" s="43">
        <v>124502</v>
      </c>
      <c r="AB115" s="37">
        <v>72000</v>
      </c>
      <c r="AC115" s="28">
        <f t="shared" si="31"/>
        <v>52502</v>
      </c>
      <c r="AD115" s="31">
        <f t="shared" si="32"/>
        <v>1.7291944444444445</v>
      </c>
      <c r="AE115" s="78">
        <v>72000</v>
      </c>
      <c r="AF115" s="62" t="s">
        <v>229</v>
      </c>
    </row>
    <row r="116" spans="1:32" s="7" customFormat="1" ht="27" customHeight="1">
      <c r="A116" s="63" t="s">
        <v>227</v>
      </c>
      <c r="B116" s="25"/>
      <c r="C116" s="14"/>
      <c r="D116" s="25"/>
      <c r="E116" s="14"/>
      <c r="F116" s="25"/>
      <c r="G116" s="14"/>
      <c r="H116" s="25"/>
      <c r="I116" s="14"/>
      <c r="J116" s="25"/>
      <c r="K116" s="14"/>
      <c r="L116" s="34"/>
      <c r="M116" s="14"/>
      <c r="N116" s="45"/>
      <c r="O116" s="14"/>
      <c r="P116" s="11"/>
      <c r="Q116" s="14"/>
      <c r="R116" s="11"/>
      <c r="S116" s="14"/>
      <c r="T116" s="11"/>
      <c r="U116" s="14"/>
      <c r="V116" s="11"/>
      <c r="W116" s="14"/>
      <c r="X116" s="11"/>
      <c r="Y116" s="19"/>
      <c r="Z116" s="13"/>
      <c r="AA116" s="43"/>
      <c r="AB116" s="37"/>
      <c r="AC116" s="28"/>
      <c r="AD116" s="31"/>
      <c r="AE116" s="78"/>
      <c r="AF116" s="62" t="s">
        <v>228</v>
      </c>
    </row>
    <row r="117" spans="1:32">
      <c r="A117" s="48" t="s">
        <v>58</v>
      </c>
      <c r="B117" s="27">
        <f>93948.73</f>
        <v>93948.73</v>
      </c>
      <c r="C117" s="14">
        <f t="shared" si="58"/>
        <v>1</v>
      </c>
      <c r="D117" s="25"/>
      <c r="E117" s="14">
        <f t="shared" si="59"/>
        <v>0</v>
      </c>
      <c r="F117" s="25"/>
      <c r="G117" s="14">
        <f t="shared" si="60"/>
        <v>0</v>
      </c>
      <c r="H117" s="25"/>
      <c r="I117" s="14">
        <f t="shared" si="61"/>
        <v>0</v>
      </c>
      <c r="J117" s="25"/>
      <c r="K117" s="14">
        <f t="shared" si="62"/>
        <v>0</v>
      </c>
      <c r="L117" s="34"/>
      <c r="M117" s="14">
        <f t="shared" si="63"/>
        <v>0</v>
      </c>
      <c r="N117" s="45"/>
      <c r="O117" s="14">
        <f t="shared" si="64"/>
        <v>0</v>
      </c>
      <c r="P117" s="11"/>
      <c r="Q117" s="14">
        <f t="shared" si="65"/>
        <v>0</v>
      </c>
      <c r="R117" s="11"/>
      <c r="S117" s="14">
        <f t="shared" si="66"/>
        <v>0</v>
      </c>
      <c r="T117" s="11"/>
      <c r="U117" s="14">
        <f t="shared" si="67"/>
        <v>0</v>
      </c>
      <c r="V117" s="11"/>
      <c r="W117" s="14">
        <f t="shared" si="68"/>
        <v>0</v>
      </c>
      <c r="X117" s="11"/>
      <c r="Y117" s="19">
        <f t="shared" si="69"/>
        <v>0</v>
      </c>
      <c r="Z117" s="13"/>
      <c r="AA117" s="43">
        <f t="shared" si="45"/>
        <v>93948.73</v>
      </c>
      <c r="AB117" s="37">
        <v>93948.73</v>
      </c>
      <c r="AC117" s="28">
        <f t="shared" si="31"/>
        <v>0</v>
      </c>
      <c r="AD117" s="31">
        <f t="shared" si="32"/>
        <v>1</v>
      </c>
      <c r="AE117" s="81">
        <v>0</v>
      </c>
      <c r="AF117" s="73" t="s">
        <v>185</v>
      </c>
    </row>
    <row r="118" spans="1:32">
      <c r="A118" s="48" t="s">
        <v>59</v>
      </c>
      <c r="B118" s="25"/>
      <c r="C118" s="14">
        <f t="shared" si="58"/>
        <v>0</v>
      </c>
      <c r="D118" s="25"/>
      <c r="E118" s="14">
        <f t="shared" si="59"/>
        <v>0</v>
      </c>
      <c r="F118" s="25"/>
      <c r="G118" s="14">
        <f t="shared" si="60"/>
        <v>0</v>
      </c>
      <c r="H118" s="25"/>
      <c r="I118" s="14">
        <f t="shared" si="61"/>
        <v>0</v>
      </c>
      <c r="J118" s="25"/>
      <c r="K118" s="14">
        <f t="shared" si="62"/>
        <v>0</v>
      </c>
      <c r="L118" s="34"/>
      <c r="M118" s="14">
        <f t="shared" si="63"/>
        <v>0</v>
      </c>
      <c r="N118" s="45"/>
      <c r="O118" s="14">
        <f t="shared" si="64"/>
        <v>0</v>
      </c>
      <c r="P118" s="11"/>
      <c r="Q118" s="14">
        <f t="shared" si="65"/>
        <v>0</v>
      </c>
      <c r="R118" s="11"/>
      <c r="S118" s="14">
        <f t="shared" si="66"/>
        <v>0</v>
      </c>
      <c r="T118" s="11"/>
      <c r="U118" s="14">
        <f t="shared" si="67"/>
        <v>0</v>
      </c>
      <c r="V118" s="11"/>
      <c r="W118" s="14">
        <f t="shared" si="68"/>
        <v>0</v>
      </c>
      <c r="X118" s="11"/>
      <c r="Y118" s="19">
        <f t="shared" si="69"/>
        <v>0</v>
      </c>
      <c r="Z118" s="13"/>
      <c r="AA118" s="43">
        <f t="shared" si="45"/>
        <v>0</v>
      </c>
      <c r="AB118" s="37">
        <v>3500</v>
      </c>
      <c r="AC118" s="28">
        <f t="shared" si="31"/>
        <v>-3500</v>
      </c>
      <c r="AD118" s="31">
        <f t="shared" si="32"/>
        <v>0</v>
      </c>
      <c r="AE118" s="81">
        <v>3800</v>
      </c>
      <c r="AF118" s="73" t="s">
        <v>188</v>
      </c>
    </row>
    <row r="119" spans="1:32" ht="31" customHeight="1">
      <c r="A119" s="52" t="s">
        <v>60</v>
      </c>
      <c r="B119" s="25"/>
      <c r="C119" s="14">
        <f t="shared" si="58"/>
        <v>0</v>
      </c>
      <c r="D119" s="25"/>
      <c r="E119" s="14">
        <f t="shared" si="59"/>
        <v>0</v>
      </c>
      <c r="F119" s="25"/>
      <c r="G119" s="14">
        <f t="shared" si="60"/>
        <v>0</v>
      </c>
      <c r="H119" s="25"/>
      <c r="I119" s="14">
        <f t="shared" si="61"/>
        <v>0</v>
      </c>
      <c r="J119" s="25"/>
      <c r="K119" s="14">
        <f t="shared" si="62"/>
        <v>0</v>
      </c>
      <c r="L119" s="34"/>
      <c r="M119" s="14">
        <f t="shared" si="63"/>
        <v>0</v>
      </c>
      <c r="N119" s="45"/>
      <c r="O119" s="14">
        <f t="shared" si="64"/>
        <v>0</v>
      </c>
      <c r="P119" s="11"/>
      <c r="Q119" s="14">
        <f t="shared" si="65"/>
        <v>0</v>
      </c>
      <c r="R119" s="11"/>
      <c r="S119" s="14">
        <f t="shared" si="66"/>
        <v>0</v>
      </c>
      <c r="T119" s="11"/>
      <c r="U119" s="14">
        <f t="shared" si="67"/>
        <v>0</v>
      </c>
      <c r="V119" s="11"/>
      <c r="W119" s="14">
        <f t="shared" si="68"/>
        <v>0</v>
      </c>
      <c r="X119" s="11"/>
      <c r="Y119" s="19">
        <f t="shared" si="69"/>
        <v>0</v>
      </c>
      <c r="Z119" s="13"/>
      <c r="AA119" s="43">
        <f t="shared" si="45"/>
        <v>0</v>
      </c>
      <c r="AB119" s="37">
        <v>18092</v>
      </c>
      <c r="AC119" s="28">
        <f t="shared" si="31"/>
        <v>-18092</v>
      </c>
      <c r="AD119" s="31">
        <f t="shared" si="32"/>
        <v>0</v>
      </c>
      <c r="AE119" s="78">
        <v>18092</v>
      </c>
      <c r="AF119" s="72" t="s">
        <v>173</v>
      </c>
    </row>
    <row r="120" spans="1:32" s="7" customFormat="1" ht="31" customHeight="1">
      <c r="A120" s="48"/>
      <c r="B120" s="25"/>
      <c r="C120" s="14"/>
      <c r="D120" s="25"/>
      <c r="E120" s="14"/>
      <c r="F120" s="25"/>
      <c r="G120" s="14"/>
      <c r="H120" s="25"/>
      <c r="I120" s="14"/>
      <c r="J120" s="25"/>
      <c r="K120" s="14"/>
      <c r="L120" s="34"/>
      <c r="M120" s="14"/>
      <c r="N120" s="45"/>
      <c r="O120" s="14"/>
      <c r="P120" s="11"/>
      <c r="Q120" s="14"/>
      <c r="R120" s="11"/>
      <c r="S120" s="14"/>
      <c r="T120" s="11"/>
      <c r="U120" s="14"/>
      <c r="V120" s="11"/>
      <c r="W120" s="14"/>
      <c r="X120" s="11"/>
      <c r="Y120" s="19"/>
      <c r="Z120" s="13"/>
      <c r="AA120" s="43"/>
      <c r="AB120" s="37"/>
      <c r="AC120" s="28"/>
      <c r="AD120" s="31"/>
      <c r="AE120" s="78"/>
      <c r="AF120" s="73" t="s">
        <v>203</v>
      </c>
    </row>
    <row r="121" spans="1:32" s="7" customFormat="1" ht="31" customHeight="1">
      <c r="A121" s="48"/>
      <c r="B121" s="25"/>
      <c r="C121" s="14"/>
      <c r="D121" s="25"/>
      <c r="E121" s="14"/>
      <c r="F121" s="25"/>
      <c r="G121" s="14"/>
      <c r="H121" s="25"/>
      <c r="I121" s="14"/>
      <c r="J121" s="25"/>
      <c r="K121" s="14"/>
      <c r="L121" s="34"/>
      <c r="M121" s="14"/>
      <c r="N121" s="45"/>
      <c r="O121" s="14"/>
      <c r="P121" s="11"/>
      <c r="Q121" s="14"/>
      <c r="R121" s="11"/>
      <c r="S121" s="14"/>
      <c r="T121" s="11"/>
      <c r="U121" s="14"/>
      <c r="V121" s="11"/>
      <c r="W121" s="14"/>
      <c r="X121" s="11"/>
      <c r="Y121" s="19"/>
      <c r="Z121" s="13"/>
      <c r="AA121" s="43"/>
      <c r="AB121" s="37"/>
      <c r="AC121" s="28"/>
      <c r="AD121" s="31"/>
      <c r="AE121" s="78"/>
      <c r="AF121" s="73" t="s">
        <v>202</v>
      </c>
    </row>
    <row r="122" spans="1:32">
      <c r="A122" s="1" t="s">
        <v>61</v>
      </c>
      <c r="B122" s="26">
        <f>((((((B112)+(B113))+(B114))+(B115))+(B117))+(B118))+(B119)</f>
        <v>96657.37</v>
      </c>
      <c r="C122" s="14">
        <f t="shared" si="58"/>
        <v>0.39476039136170843</v>
      </c>
      <c r="D122" s="26">
        <f>((((((D112)+(D113))+(D114))+(D115))+(D117))+(D118))+(D119)</f>
        <v>3221</v>
      </c>
      <c r="E122" s="14">
        <f t="shared" si="59"/>
        <v>1.3154953632362052E-2</v>
      </c>
      <c r="F122" s="26">
        <f>((((((F112)+(F113))+(F114))+(F115))+(F117))+(F118))+(F119)</f>
        <v>16206.6</v>
      </c>
      <c r="G122" s="14">
        <f t="shared" si="60"/>
        <v>6.6189714851983494E-2</v>
      </c>
      <c r="H122" s="26">
        <f>((((((H112)+(H113))+(H114))+(H115))+(H117))+(H118))+(H119)</f>
        <v>0</v>
      </c>
      <c r="I122" s="14">
        <f t="shared" si="61"/>
        <v>0</v>
      </c>
      <c r="J122" s="26">
        <f>((((((J112)+(J113))+(J114))+(J115))+(J117))+(J118))+(J119)</f>
        <v>18678.78</v>
      </c>
      <c r="K122" s="14">
        <f t="shared" si="62"/>
        <v>7.6286397022381755E-2</v>
      </c>
      <c r="L122" s="35">
        <f>((((((L112)+(L113))+(L114))+(L115))+(L117))+(L118))+(L119)</f>
        <v>0</v>
      </c>
      <c r="M122" s="14">
        <f t="shared" si="63"/>
        <v>0</v>
      </c>
      <c r="N122" s="45">
        <v>15320.83</v>
      </c>
      <c r="O122" s="14">
        <f t="shared" si="64"/>
        <v>6.2572123023688767E-2</v>
      </c>
      <c r="P122" s="11"/>
      <c r="Q122" s="14">
        <f t="shared" si="65"/>
        <v>0</v>
      </c>
      <c r="R122" s="11"/>
      <c r="S122" s="14">
        <f t="shared" si="66"/>
        <v>0</v>
      </c>
      <c r="T122" s="11"/>
      <c r="U122" s="14">
        <f t="shared" si="67"/>
        <v>0</v>
      </c>
      <c r="V122" s="11"/>
      <c r="W122" s="14">
        <f t="shared" si="68"/>
        <v>0</v>
      </c>
      <c r="X122" s="11"/>
      <c r="Y122" s="19">
        <f t="shared" si="69"/>
        <v>0</v>
      </c>
      <c r="Z122" s="13"/>
      <c r="AA122" s="41">
        <v>289061</v>
      </c>
      <c r="AB122" s="38">
        <f>((((((AB112)+(AB113))+(AB114))+(AB115))+(AB117))+(AB118))+(AB119)</f>
        <v>244850.72999999998</v>
      </c>
      <c r="AC122" s="29">
        <f t="shared" ref="AC122:AC141" si="70">(AA122)-(AB122)</f>
        <v>44210.270000000019</v>
      </c>
      <c r="AD122" s="32">
        <f t="shared" ref="AD122:AD141" si="71">IF(AB122=0,"",(AA122)/(AB122))</f>
        <v>1.1805600906315452</v>
      </c>
      <c r="AE122" s="79">
        <f>((((((AE112)+(AE113))+(AE114))+(AE115))+(AE117))+(AE118))+(AE119)</f>
        <v>161742</v>
      </c>
      <c r="AF122" s="72"/>
    </row>
    <row r="123" spans="1:32">
      <c r="A123" s="1" t="s">
        <v>62</v>
      </c>
      <c r="B123" s="25"/>
      <c r="C123" s="14"/>
      <c r="D123" s="25"/>
      <c r="E123" s="14"/>
      <c r="F123" s="25"/>
      <c r="G123" s="14"/>
      <c r="H123" s="25"/>
      <c r="I123" s="14"/>
      <c r="J123" s="25"/>
      <c r="K123" s="14"/>
      <c r="L123" s="34"/>
      <c r="M123" s="14"/>
      <c r="N123" s="45"/>
      <c r="O123" s="14"/>
      <c r="P123" s="11"/>
      <c r="Q123" s="14"/>
      <c r="R123" s="11"/>
      <c r="S123" s="14"/>
      <c r="T123" s="11"/>
      <c r="U123" s="14"/>
      <c r="V123" s="11"/>
      <c r="W123" s="14"/>
      <c r="X123" s="11"/>
      <c r="Y123" s="19"/>
      <c r="Z123" s="13"/>
      <c r="AA123" s="42">
        <f t="shared" si="45"/>
        <v>0</v>
      </c>
      <c r="AB123" s="39"/>
      <c r="AC123" s="28">
        <f t="shared" si="70"/>
        <v>0</v>
      </c>
      <c r="AD123" s="31" t="str">
        <f t="shared" si="71"/>
        <v/>
      </c>
      <c r="AE123" s="80"/>
      <c r="AF123" s="72"/>
    </row>
    <row r="124" spans="1:32">
      <c r="A124" s="1" t="s">
        <v>63</v>
      </c>
      <c r="B124" s="25"/>
      <c r="C124" s="14">
        <f t="shared" ref="C124:C130" si="72">B124/$AB124</f>
        <v>0</v>
      </c>
      <c r="D124" s="25"/>
      <c r="E124" s="14">
        <f t="shared" ref="E124:E130" si="73">D124/$AB124</f>
        <v>0</v>
      </c>
      <c r="F124" s="25"/>
      <c r="G124" s="14">
        <f t="shared" ref="G124:G130" si="74">F124/$AB124</f>
        <v>0</v>
      </c>
      <c r="H124" s="25"/>
      <c r="I124" s="14">
        <f t="shared" ref="I124:I130" si="75">H124/$AB124</f>
        <v>0</v>
      </c>
      <c r="J124" s="25"/>
      <c r="K124" s="14">
        <f t="shared" ref="K124:K130" si="76">J124/$AB124</f>
        <v>0</v>
      </c>
      <c r="L124" s="34"/>
      <c r="M124" s="14">
        <f t="shared" ref="M124:M130" si="77">L124/$AB124</f>
        <v>0</v>
      </c>
      <c r="N124" s="45"/>
      <c r="O124" s="14">
        <f t="shared" ref="O124:O130" si="78">N124/$AB124</f>
        <v>0</v>
      </c>
      <c r="P124" s="11"/>
      <c r="Q124" s="14">
        <f t="shared" ref="Q124:Q130" si="79">P124/$AB124</f>
        <v>0</v>
      </c>
      <c r="R124" s="11"/>
      <c r="S124" s="14">
        <f t="shared" ref="S124:S130" si="80">R124/$AB124</f>
        <v>0</v>
      </c>
      <c r="T124" s="11"/>
      <c r="U124" s="14">
        <f t="shared" ref="U124:U130" si="81">T124/$AB124</f>
        <v>0</v>
      </c>
      <c r="V124" s="11"/>
      <c r="W124" s="14">
        <f t="shared" ref="W124:W130" si="82">V124/$AB124</f>
        <v>0</v>
      </c>
      <c r="X124" s="11"/>
      <c r="Y124" s="19">
        <f t="shared" ref="Y124:Y130" si="83">X124/$AB124</f>
        <v>0</v>
      </c>
      <c r="Z124" s="13"/>
      <c r="AA124" s="43">
        <f t="shared" si="45"/>
        <v>0</v>
      </c>
      <c r="AB124" s="37">
        <v>750</v>
      </c>
      <c r="AC124" s="28">
        <f t="shared" si="70"/>
        <v>-750</v>
      </c>
      <c r="AD124" s="31">
        <f t="shared" si="71"/>
        <v>0</v>
      </c>
      <c r="AE124" s="78">
        <v>750</v>
      </c>
      <c r="AF124" s="72"/>
    </row>
    <row r="125" spans="1:32">
      <c r="A125" s="1" t="s">
        <v>64</v>
      </c>
      <c r="B125" s="25"/>
      <c r="C125" s="14">
        <f t="shared" si="72"/>
        <v>0</v>
      </c>
      <c r="D125" s="25"/>
      <c r="E125" s="14">
        <f t="shared" si="73"/>
        <v>0</v>
      </c>
      <c r="F125" s="25"/>
      <c r="G125" s="14">
        <f t="shared" si="74"/>
        <v>0</v>
      </c>
      <c r="H125" s="25"/>
      <c r="I125" s="14">
        <f t="shared" si="75"/>
        <v>0</v>
      </c>
      <c r="J125" s="25"/>
      <c r="K125" s="14">
        <f t="shared" si="76"/>
        <v>0</v>
      </c>
      <c r="L125" s="36">
        <f>1000</f>
        <v>1000</v>
      </c>
      <c r="M125" s="14">
        <f t="shared" si="77"/>
        <v>1</v>
      </c>
      <c r="N125" s="45"/>
      <c r="O125" s="14">
        <f t="shared" si="78"/>
        <v>0</v>
      </c>
      <c r="P125" s="11"/>
      <c r="Q125" s="14">
        <f t="shared" si="79"/>
        <v>0</v>
      </c>
      <c r="R125" s="11"/>
      <c r="S125" s="14">
        <f t="shared" si="80"/>
        <v>0</v>
      </c>
      <c r="T125" s="11"/>
      <c r="U125" s="14">
        <f t="shared" si="81"/>
        <v>0</v>
      </c>
      <c r="V125" s="11"/>
      <c r="W125" s="14">
        <f t="shared" si="82"/>
        <v>0</v>
      </c>
      <c r="X125" s="11"/>
      <c r="Y125" s="19">
        <f t="shared" si="83"/>
        <v>0</v>
      </c>
      <c r="Z125" s="13"/>
      <c r="AA125" s="43">
        <f t="shared" si="45"/>
        <v>1000</v>
      </c>
      <c r="AB125" s="37">
        <v>1000</v>
      </c>
      <c r="AC125" s="28">
        <f t="shared" si="70"/>
        <v>0</v>
      </c>
      <c r="AD125" s="31">
        <f t="shared" si="71"/>
        <v>1</v>
      </c>
      <c r="AE125" s="78">
        <v>1000</v>
      </c>
      <c r="AF125" s="72"/>
    </row>
    <row r="126" spans="1:32">
      <c r="A126" s="48" t="s">
        <v>65</v>
      </c>
      <c r="B126" s="25"/>
      <c r="C126" s="14">
        <f t="shared" si="72"/>
        <v>0</v>
      </c>
      <c r="D126" s="25"/>
      <c r="E126" s="14">
        <f t="shared" si="73"/>
        <v>0</v>
      </c>
      <c r="F126" s="25"/>
      <c r="G126" s="14">
        <f t="shared" si="74"/>
        <v>0</v>
      </c>
      <c r="H126" s="25"/>
      <c r="I126" s="14">
        <f t="shared" si="75"/>
        <v>0</v>
      </c>
      <c r="J126" s="25"/>
      <c r="K126" s="14">
        <f t="shared" si="76"/>
        <v>0</v>
      </c>
      <c r="L126" s="34"/>
      <c r="M126" s="14">
        <f t="shared" si="77"/>
        <v>0</v>
      </c>
      <c r="N126" s="45"/>
      <c r="O126" s="14">
        <f t="shared" si="78"/>
        <v>0</v>
      </c>
      <c r="P126" s="11"/>
      <c r="Q126" s="14">
        <f t="shared" si="79"/>
        <v>0</v>
      </c>
      <c r="R126" s="11"/>
      <c r="S126" s="14">
        <f t="shared" si="80"/>
        <v>0</v>
      </c>
      <c r="T126" s="11"/>
      <c r="U126" s="14">
        <f t="shared" si="81"/>
        <v>0</v>
      </c>
      <c r="V126" s="11"/>
      <c r="W126" s="14">
        <f t="shared" si="82"/>
        <v>0</v>
      </c>
      <c r="X126" s="11"/>
      <c r="Y126" s="19">
        <f t="shared" si="83"/>
        <v>0</v>
      </c>
      <c r="Z126" s="13"/>
      <c r="AA126" s="43">
        <f t="shared" si="45"/>
        <v>0</v>
      </c>
      <c r="AB126" s="37">
        <v>2500</v>
      </c>
      <c r="AC126" s="28">
        <f t="shared" si="70"/>
        <v>-2500</v>
      </c>
      <c r="AD126" s="31">
        <f t="shared" si="71"/>
        <v>0</v>
      </c>
      <c r="AE126" s="78">
        <v>0</v>
      </c>
      <c r="AF126" s="72" t="s">
        <v>213</v>
      </c>
    </row>
    <row r="127" spans="1:32">
      <c r="A127" s="48" t="s">
        <v>66</v>
      </c>
      <c r="B127" s="25"/>
      <c r="C127" s="14">
        <f t="shared" si="72"/>
        <v>0</v>
      </c>
      <c r="D127" s="27">
        <f>112</f>
        <v>112</v>
      </c>
      <c r="E127" s="14">
        <f t="shared" si="73"/>
        <v>0.44800000000000001</v>
      </c>
      <c r="F127" s="25"/>
      <c r="G127" s="14">
        <f t="shared" si="74"/>
        <v>0</v>
      </c>
      <c r="H127" s="25"/>
      <c r="I127" s="14">
        <f t="shared" si="75"/>
        <v>0</v>
      </c>
      <c r="J127" s="25"/>
      <c r="K127" s="14">
        <f t="shared" si="76"/>
        <v>0</v>
      </c>
      <c r="L127" s="34"/>
      <c r="M127" s="14">
        <f t="shared" si="77"/>
        <v>0</v>
      </c>
      <c r="N127" s="45"/>
      <c r="O127" s="14">
        <f t="shared" si="78"/>
        <v>0</v>
      </c>
      <c r="P127" s="11"/>
      <c r="Q127" s="14">
        <f t="shared" si="79"/>
        <v>0</v>
      </c>
      <c r="R127" s="11"/>
      <c r="S127" s="14">
        <f t="shared" si="80"/>
        <v>0</v>
      </c>
      <c r="T127" s="11"/>
      <c r="U127" s="14">
        <f t="shared" si="81"/>
        <v>0</v>
      </c>
      <c r="V127" s="11"/>
      <c r="W127" s="14">
        <f t="shared" si="82"/>
        <v>0</v>
      </c>
      <c r="X127" s="11"/>
      <c r="Y127" s="19">
        <f t="shared" si="83"/>
        <v>0</v>
      </c>
      <c r="Z127" s="13"/>
      <c r="AA127" s="43">
        <v>748</v>
      </c>
      <c r="AB127" s="37">
        <v>250</v>
      </c>
      <c r="AC127" s="28">
        <f t="shared" si="70"/>
        <v>498</v>
      </c>
      <c r="AD127" s="31">
        <f t="shared" si="71"/>
        <v>2.992</v>
      </c>
      <c r="AE127" s="78">
        <v>750</v>
      </c>
      <c r="AF127" s="72" t="s">
        <v>218</v>
      </c>
    </row>
    <row r="128" spans="1:32">
      <c r="A128" s="1" t="s">
        <v>67</v>
      </c>
      <c r="B128" s="26">
        <f>((((B123)+(B124))+(B125))+(B126))+(B127)</f>
        <v>0</v>
      </c>
      <c r="C128" s="14">
        <f t="shared" si="72"/>
        <v>0</v>
      </c>
      <c r="D128" s="26">
        <f>((((D123)+(D124))+(D125))+(D126))+(D127)</f>
        <v>112</v>
      </c>
      <c r="E128" s="14">
        <f t="shared" si="73"/>
        <v>2.4888888888888887E-2</v>
      </c>
      <c r="F128" s="26">
        <f>((((F123)+(F124))+(F125))+(F126))+(F127)</f>
        <v>0</v>
      </c>
      <c r="G128" s="14">
        <f t="shared" si="74"/>
        <v>0</v>
      </c>
      <c r="H128" s="26">
        <f>((((H123)+(H124))+(H125))+(H126))+(H127)</f>
        <v>0</v>
      </c>
      <c r="I128" s="14">
        <f t="shared" si="75"/>
        <v>0</v>
      </c>
      <c r="J128" s="26">
        <f>((((J123)+(J124))+(J125))+(J126))+(J127)</f>
        <v>0</v>
      </c>
      <c r="K128" s="14">
        <f t="shared" si="76"/>
        <v>0</v>
      </c>
      <c r="L128" s="35">
        <f>((((L123)+(L124))+(L125))+(L126))+(L127)</f>
        <v>1000</v>
      </c>
      <c r="M128" s="14">
        <f t="shared" si="77"/>
        <v>0.22222222222222221</v>
      </c>
      <c r="N128" s="45">
        <v>0</v>
      </c>
      <c r="O128" s="14">
        <f t="shared" si="78"/>
        <v>0</v>
      </c>
      <c r="P128" s="11"/>
      <c r="Q128" s="14">
        <f t="shared" si="79"/>
        <v>0</v>
      </c>
      <c r="R128" s="11"/>
      <c r="S128" s="14">
        <f t="shared" si="80"/>
        <v>0</v>
      </c>
      <c r="T128" s="11"/>
      <c r="U128" s="14">
        <f t="shared" si="81"/>
        <v>0</v>
      </c>
      <c r="V128" s="11"/>
      <c r="W128" s="14">
        <f t="shared" si="82"/>
        <v>0</v>
      </c>
      <c r="X128" s="11"/>
      <c r="Y128" s="19">
        <f t="shared" si="83"/>
        <v>0</v>
      </c>
      <c r="Z128" s="13"/>
      <c r="AA128" s="41">
        <v>1748</v>
      </c>
      <c r="AB128" s="38">
        <f>((((AB123)+(AB124))+(AB125))+(AB126))+(AB127)</f>
        <v>4500</v>
      </c>
      <c r="AC128" s="29">
        <f t="shared" si="70"/>
        <v>-2752</v>
      </c>
      <c r="AD128" s="32">
        <f t="shared" si="71"/>
        <v>0.38844444444444443</v>
      </c>
      <c r="AE128" s="79">
        <f>((((AE123)+(AE124))+(AE125))+(AE126))+(AE127)</f>
        <v>2500</v>
      </c>
      <c r="AF128" s="72"/>
    </row>
    <row r="129" spans="1:32">
      <c r="A129" s="1" t="s">
        <v>68</v>
      </c>
      <c r="B129" s="25"/>
      <c r="C129" s="14">
        <f t="shared" si="72"/>
        <v>0</v>
      </c>
      <c r="D129" s="25"/>
      <c r="E129" s="14">
        <f t="shared" si="73"/>
        <v>0</v>
      </c>
      <c r="F129" s="25"/>
      <c r="G129" s="14">
        <f t="shared" si="74"/>
        <v>0</v>
      </c>
      <c r="H129" s="25"/>
      <c r="I129" s="14">
        <f t="shared" si="75"/>
        <v>0</v>
      </c>
      <c r="J129" s="25"/>
      <c r="K129" s="14">
        <f t="shared" si="76"/>
        <v>0</v>
      </c>
      <c r="L129" s="34"/>
      <c r="M129" s="14">
        <f t="shared" si="77"/>
        <v>0</v>
      </c>
      <c r="N129" s="45"/>
      <c r="O129" s="14">
        <f t="shared" si="78"/>
        <v>0</v>
      </c>
      <c r="P129" s="11"/>
      <c r="Q129" s="14">
        <f t="shared" si="79"/>
        <v>0</v>
      </c>
      <c r="R129" s="11"/>
      <c r="S129" s="14">
        <f t="shared" si="80"/>
        <v>0</v>
      </c>
      <c r="T129" s="11"/>
      <c r="U129" s="14">
        <f t="shared" si="81"/>
        <v>0</v>
      </c>
      <c r="V129" s="11"/>
      <c r="W129" s="14">
        <f t="shared" si="82"/>
        <v>0</v>
      </c>
      <c r="X129" s="11"/>
      <c r="Y129" s="19">
        <f t="shared" si="83"/>
        <v>0</v>
      </c>
      <c r="Z129" s="13"/>
      <c r="AA129" s="64">
        <f t="shared" si="45"/>
        <v>0</v>
      </c>
      <c r="AB129" s="65">
        <v>150</v>
      </c>
      <c r="AC129" s="66">
        <f t="shared" si="70"/>
        <v>-150</v>
      </c>
      <c r="AD129" s="32">
        <f t="shared" si="71"/>
        <v>0</v>
      </c>
      <c r="AE129" s="81">
        <v>150</v>
      </c>
      <c r="AF129" s="72"/>
    </row>
    <row r="130" spans="1:32">
      <c r="A130" s="1" t="s">
        <v>69</v>
      </c>
      <c r="B130" s="25"/>
      <c r="C130" s="14">
        <f t="shared" si="72"/>
        <v>0</v>
      </c>
      <c r="D130" s="25"/>
      <c r="E130" s="14">
        <f t="shared" si="73"/>
        <v>0</v>
      </c>
      <c r="F130" s="25"/>
      <c r="G130" s="14">
        <f t="shared" si="74"/>
        <v>0</v>
      </c>
      <c r="H130" s="25"/>
      <c r="I130" s="14">
        <f t="shared" si="75"/>
        <v>0</v>
      </c>
      <c r="J130" s="25"/>
      <c r="K130" s="14">
        <f t="shared" si="76"/>
        <v>0</v>
      </c>
      <c r="L130" s="34"/>
      <c r="M130" s="14">
        <f t="shared" si="77"/>
        <v>0</v>
      </c>
      <c r="N130" s="45"/>
      <c r="O130" s="14">
        <f t="shared" si="78"/>
        <v>0</v>
      </c>
      <c r="P130" s="11"/>
      <c r="Q130" s="14">
        <f t="shared" si="79"/>
        <v>0</v>
      </c>
      <c r="R130" s="11"/>
      <c r="S130" s="14">
        <f t="shared" si="80"/>
        <v>0</v>
      </c>
      <c r="T130" s="11"/>
      <c r="U130" s="14">
        <f t="shared" si="81"/>
        <v>0</v>
      </c>
      <c r="V130" s="11"/>
      <c r="W130" s="14">
        <f t="shared" si="82"/>
        <v>0</v>
      </c>
      <c r="X130" s="11"/>
      <c r="Y130" s="19">
        <f t="shared" si="83"/>
        <v>0</v>
      </c>
      <c r="Z130" s="13"/>
      <c r="AA130" s="64">
        <f t="shared" si="45"/>
        <v>0</v>
      </c>
      <c r="AB130" s="65">
        <v>250</v>
      </c>
      <c r="AC130" s="66">
        <f t="shared" si="70"/>
        <v>-250</v>
      </c>
      <c r="AD130" s="32">
        <f t="shared" si="71"/>
        <v>0</v>
      </c>
      <c r="AE130" s="81">
        <v>250</v>
      </c>
      <c r="AF130" s="72"/>
    </row>
    <row r="131" spans="1:32" s="7" customFormat="1">
      <c r="A131" s="48" t="s">
        <v>219</v>
      </c>
      <c r="B131" s="25"/>
      <c r="C131" s="14"/>
      <c r="D131" s="25"/>
      <c r="E131" s="14"/>
      <c r="F131" s="25"/>
      <c r="G131" s="14"/>
      <c r="H131" s="25"/>
      <c r="I131" s="14"/>
      <c r="J131" s="25"/>
      <c r="K131" s="14"/>
      <c r="L131" s="34"/>
      <c r="M131" s="14"/>
      <c r="N131" s="45"/>
      <c r="O131" s="14"/>
      <c r="P131" s="11"/>
      <c r="Q131" s="14"/>
      <c r="R131" s="11"/>
      <c r="S131" s="14"/>
      <c r="T131" s="11"/>
      <c r="U131" s="14"/>
      <c r="V131" s="11"/>
      <c r="W131" s="14"/>
      <c r="X131" s="11"/>
      <c r="Y131" s="19"/>
      <c r="Z131" s="13"/>
      <c r="AA131" s="43">
        <v>3423</v>
      </c>
      <c r="AB131" s="37"/>
      <c r="AC131" s="28"/>
      <c r="AD131" s="31"/>
      <c r="AE131" s="81">
        <v>3500</v>
      </c>
      <c r="AF131" s="72"/>
    </row>
    <row r="132" spans="1:32">
      <c r="A132" s="1" t="s">
        <v>89</v>
      </c>
      <c r="B132" s="25"/>
      <c r="C132" s="14"/>
      <c r="D132" s="25"/>
      <c r="E132" s="14"/>
      <c r="F132" s="25"/>
      <c r="G132" s="14"/>
      <c r="H132" s="25"/>
      <c r="I132" s="14"/>
      <c r="J132" s="25"/>
      <c r="K132" s="14"/>
      <c r="L132" s="34"/>
      <c r="M132" s="14"/>
      <c r="N132" s="45"/>
      <c r="O132" s="14"/>
      <c r="P132" s="11"/>
      <c r="Q132" s="14"/>
      <c r="R132" s="11"/>
      <c r="S132" s="14"/>
      <c r="T132" s="11"/>
      <c r="U132" s="14"/>
      <c r="V132" s="11"/>
      <c r="W132" s="14"/>
      <c r="X132" s="11"/>
      <c r="Y132" s="19"/>
      <c r="Z132" s="13"/>
      <c r="AA132" s="42">
        <f t="shared" si="45"/>
        <v>0</v>
      </c>
      <c r="AB132" s="39"/>
      <c r="AC132" s="28">
        <f t="shared" si="70"/>
        <v>0</v>
      </c>
      <c r="AD132" s="31" t="str">
        <f t="shared" si="71"/>
        <v/>
      </c>
      <c r="AE132" s="80"/>
      <c r="AF132" s="72"/>
    </row>
    <row r="133" spans="1:32">
      <c r="A133" s="48" t="s">
        <v>90</v>
      </c>
      <c r="B133" s="25"/>
      <c r="C133" s="14">
        <f t="shared" ref="C133:C141" si="84">B133/$AB133</f>
        <v>0</v>
      </c>
      <c r="D133" s="25"/>
      <c r="E133" s="14">
        <f t="shared" ref="E133:E141" si="85">D133/$AB133</f>
        <v>0</v>
      </c>
      <c r="F133" s="25"/>
      <c r="G133" s="14">
        <f t="shared" ref="G133:G141" si="86">F133/$AB133</f>
        <v>0</v>
      </c>
      <c r="H133" s="25"/>
      <c r="I133" s="14">
        <f t="shared" ref="I133:I141" si="87">H133/$AB133</f>
        <v>0</v>
      </c>
      <c r="J133" s="25"/>
      <c r="K133" s="14">
        <f t="shared" ref="K133:K141" si="88">J133/$AB133</f>
        <v>0</v>
      </c>
      <c r="L133" s="34"/>
      <c r="M133" s="14">
        <f t="shared" ref="M133:M141" si="89">L133/$AB133</f>
        <v>0</v>
      </c>
      <c r="N133" s="45"/>
      <c r="O133" s="14">
        <f t="shared" ref="O133:O141" si="90">N133/$AB133</f>
        <v>0</v>
      </c>
      <c r="P133" s="11"/>
      <c r="Q133" s="14">
        <f t="shared" ref="Q133:Q141" si="91">P133/$AB133</f>
        <v>0</v>
      </c>
      <c r="R133" s="11"/>
      <c r="S133" s="14">
        <f t="shared" ref="S133:S141" si="92">R133/$AB133</f>
        <v>0</v>
      </c>
      <c r="T133" s="11"/>
      <c r="U133" s="14">
        <f t="shared" ref="U133:U141" si="93">T133/$AB133</f>
        <v>0</v>
      </c>
      <c r="V133" s="11"/>
      <c r="W133" s="14">
        <f t="shared" ref="W133:W141" si="94">V133/$AB133</f>
        <v>0</v>
      </c>
      <c r="X133" s="11"/>
      <c r="Y133" s="19">
        <f t="shared" ref="Y133:Y141" si="95">X133/$AB133</f>
        <v>0</v>
      </c>
      <c r="Z133" s="13"/>
      <c r="AA133" s="43">
        <f t="shared" si="45"/>
        <v>0</v>
      </c>
      <c r="AB133" s="37">
        <v>360</v>
      </c>
      <c r="AC133" s="28">
        <f t="shared" si="70"/>
        <v>-360</v>
      </c>
      <c r="AD133" s="31">
        <f t="shared" si="71"/>
        <v>0</v>
      </c>
      <c r="AE133" s="78">
        <v>250</v>
      </c>
      <c r="AF133" s="72" t="s">
        <v>172</v>
      </c>
    </row>
    <row r="134" spans="1:32">
      <c r="A134" s="1" t="s">
        <v>91</v>
      </c>
      <c r="B134" s="25"/>
      <c r="C134" s="14">
        <f t="shared" si="84"/>
        <v>0</v>
      </c>
      <c r="D134" s="25"/>
      <c r="E134" s="14">
        <f t="shared" si="85"/>
        <v>0</v>
      </c>
      <c r="F134" s="25"/>
      <c r="G134" s="14">
        <f t="shared" si="86"/>
        <v>0</v>
      </c>
      <c r="H134" s="25"/>
      <c r="I134" s="14">
        <f t="shared" si="87"/>
        <v>0</v>
      </c>
      <c r="J134" s="25"/>
      <c r="K134" s="14">
        <f t="shared" si="88"/>
        <v>0</v>
      </c>
      <c r="L134" s="34"/>
      <c r="M134" s="14">
        <f t="shared" si="89"/>
        <v>0</v>
      </c>
      <c r="N134" s="45"/>
      <c r="O134" s="14">
        <f t="shared" si="90"/>
        <v>0</v>
      </c>
      <c r="P134" s="11"/>
      <c r="Q134" s="14">
        <f t="shared" si="91"/>
        <v>0</v>
      </c>
      <c r="R134" s="11"/>
      <c r="S134" s="14">
        <f t="shared" si="92"/>
        <v>0</v>
      </c>
      <c r="T134" s="11"/>
      <c r="U134" s="14">
        <f t="shared" si="93"/>
        <v>0</v>
      </c>
      <c r="V134" s="11"/>
      <c r="W134" s="14">
        <f t="shared" si="94"/>
        <v>0</v>
      </c>
      <c r="X134" s="11"/>
      <c r="Y134" s="19">
        <f t="shared" si="95"/>
        <v>0</v>
      </c>
      <c r="Z134" s="13"/>
      <c r="AA134" s="43">
        <f t="shared" si="45"/>
        <v>0</v>
      </c>
      <c r="AB134" s="37">
        <v>150</v>
      </c>
      <c r="AC134" s="28">
        <f t="shared" si="70"/>
        <v>-150</v>
      </c>
      <c r="AD134" s="31">
        <f t="shared" si="71"/>
        <v>0</v>
      </c>
      <c r="AE134" s="78">
        <v>150</v>
      </c>
      <c r="AF134" s="72"/>
    </row>
    <row r="135" spans="1:32">
      <c r="A135" s="1" t="s">
        <v>92</v>
      </c>
      <c r="B135" s="25"/>
      <c r="C135" s="14">
        <f t="shared" si="84"/>
        <v>0</v>
      </c>
      <c r="D135" s="25"/>
      <c r="E135" s="14">
        <f t="shared" si="85"/>
        <v>0</v>
      </c>
      <c r="F135" s="25"/>
      <c r="G135" s="14">
        <f t="shared" si="86"/>
        <v>0</v>
      </c>
      <c r="H135" s="25"/>
      <c r="I135" s="14">
        <f t="shared" si="87"/>
        <v>0</v>
      </c>
      <c r="J135" s="25"/>
      <c r="K135" s="14">
        <f t="shared" si="88"/>
        <v>0</v>
      </c>
      <c r="L135" s="34"/>
      <c r="M135" s="14">
        <f t="shared" si="89"/>
        <v>0</v>
      </c>
      <c r="N135" s="45"/>
      <c r="O135" s="14">
        <f t="shared" si="90"/>
        <v>0</v>
      </c>
      <c r="P135" s="11"/>
      <c r="Q135" s="14">
        <f t="shared" si="91"/>
        <v>0</v>
      </c>
      <c r="R135" s="11"/>
      <c r="S135" s="14">
        <f t="shared" si="92"/>
        <v>0</v>
      </c>
      <c r="T135" s="11"/>
      <c r="U135" s="14">
        <f t="shared" si="93"/>
        <v>0</v>
      </c>
      <c r="V135" s="11"/>
      <c r="W135" s="14">
        <f t="shared" si="94"/>
        <v>0</v>
      </c>
      <c r="X135" s="11"/>
      <c r="Y135" s="19">
        <f t="shared" si="95"/>
        <v>0</v>
      </c>
      <c r="Z135" s="13"/>
      <c r="AA135" s="43">
        <f t="shared" si="45"/>
        <v>0</v>
      </c>
      <c r="AB135" s="37">
        <v>150</v>
      </c>
      <c r="AC135" s="28">
        <f t="shared" si="70"/>
        <v>-150</v>
      </c>
      <c r="AD135" s="31">
        <f t="shared" si="71"/>
        <v>0</v>
      </c>
      <c r="AE135" s="78">
        <v>150</v>
      </c>
      <c r="AF135" s="72"/>
    </row>
    <row r="136" spans="1:32">
      <c r="A136" s="1" t="s">
        <v>93</v>
      </c>
      <c r="B136" s="25"/>
      <c r="C136" s="14">
        <f t="shared" si="84"/>
        <v>0</v>
      </c>
      <c r="D136" s="25"/>
      <c r="E136" s="14">
        <f t="shared" si="85"/>
        <v>0</v>
      </c>
      <c r="F136" s="25"/>
      <c r="G136" s="14">
        <f t="shared" si="86"/>
        <v>0</v>
      </c>
      <c r="H136" s="25"/>
      <c r="I136" s="14">
        <f t="shared" si="87"/>
        <v>0</v>
      </c>
      <c r="J136" s="25"/>
      <c r="K136" s="14">
        <f t="shared" si="88"/>
        <v>0</v>
      </c>
      <c r="L136" s="34"/>
      <c r="M136" s="14">
        <f t="shared" si="89"/>
        <v>0</v>
      </c>
      <c r="N136" s="45"/>
      <c r="O136" s="14">
        <f t="shared" si="90"/>
        <v>0</v>
      </c>
      <c r="P136" s="11"/>
      <c r="Q136" s="14">
        <f t="shared" si="91"/>
        <v>0</v>
      </c>
      <c r="R136" s="11"/>
      <c r="S136" s="14">
        <f t="shared" si="92"/>
        <v>0</v>
      </c>
      <c r="T136" s="11"/>
      <c r="U136" s="14">
        <f t="shared" si="93"/>
        <v>0</v>
      </c>
      <c r="V136" s="11"/>
      <c r="W136" s="14">
        <f t="shared" si="94"/>
        <v>0</v>
      </c>
      <c r="X136" s="11"/>
      <c r="Y136" s="19">
        <f t="shared" si="95"/>
        <v>0</v>
      </c>
      <c r="Z136" s="13"/>
      <c r="AA136" s="43">
        <f t="shared" si="45"/>
        <v>0</v>
      </c>
      <c r="AB136" s="37">
        <v>250</v>
      </c>
      <c r="AC136" s="28">
        <f t="shared" si="70"/>
        <v>-250</v>
      </c>
      <c r="AD136" s="31">
        <f t="shared" si="71"/>
        <v>0</v>
      </c>
      <c r="AE136" s="78">
        <v>250</v>
      </c>
      <c r="AF136" s="72"/>
    </row>
    <row r="137" spans="1:32">
      <c r="A137" s="1" t="s">
        <v>94</v>
      </c>
      <c r="B137" s="25"/>
      <c r="C137" s="14">
        <f t="shared" si="84"/>
        <v>0</v>
      </c>
      <c r="D137" s="25"/>
      <c r="E137" s="14">
        <f t="shared" si="85"/>
        <v>0</v>
      </c>
      <c r="F137" s="25"/>
      <c r="G137" s="14">
        <f t="shared" si="86"/>
        <v>0</v>
      </c>
      <c r="H137" s="25"/>
      <c r="I137" s="14">
        <f t="shared" si="87"/>
        <v>0</v>
      </c>
      <c r="J137" s="25"/>
      <c r="K137" s="14">
        <f t="shared" si="88"/>
        <v>0</v>
      </c>
      <c r="L137" s="34"/>
      <c r="M137" s="14">
        <f t="shared" si="89"/>
        <v>0</v>
      </c>
      <c r="N137" s="45"/>
      <c r="O137" s="14">
        <f t="shared" si="90"/>
        <v>0</v>
      </c>
      <c r="P137" s="11"/>
      <c r="Q137" s="14">
        <f t="shared" si="91"/>
        <v>0</v>
      </c>
      <c r="R137" s="11"/>
      <c r="S137" s="14">
        <f t="shared" si="92"/>
        <v>0</v>
      </c>
      <c r="T137" s="11"/>
      <c r="U137" s="14">
        <f t="shared" si="93"/>
        <v>0</v>
      </c>
      <c r="V137" s="11"/>
      <c r="W137" s="14">
        <f t="shared" si="94"/>
        <v>0</v>
      </c>
      <c r="X137" s="11"/>
      <c r="Y137" s="19">
        <f t="shared" si="95"/>
        <v>0</v>
      </c>
      <c r="Z137" s="13"/>
      <c r="AA137" s="43">
        <f t="shared" si="45"/>
        <v>0</v>
      </c>
      <c r="AB137" s="37">
        <v>150</v>
      </c>
      <c r="AC137" s="28">
        <f t="shared" si="70"/>
        <v>-150</v>
      </c>
      <c r="AD137" s="31">
        <f t="shared" si="71"/>
        <v>0</v>
      </c>
      <c r="AE137" s="78">
        <v>150</v>
      </c>
      <c r="AF137" s="72"/>
    </row>
    <row r="138" spans="1:32">
      <c r="A138" s="1" t="s">
        <v>95</v>
      </c>
      <c r="B138" s="26">
        <f>(((((B132)+(B133))+(B134))+(B135))+(B136))+(B137)</f>
        <v>0</v>
      </c>
      <c r="C138" s="14">
        <f t="shared" si="84"/>
        <v>0</v>
      </c>
      <c r="D138" s="26">
        <f>(((((D132)+(D133))+(D134))+(D135))+(D136))+(D137)</f>
        <v>0</v>
      </c>
      <c r="E138" s="14">
        <f t="shared" si="85"/>
        <v>0</v>
      </c>
      <c r="F138" s="26">
        <f>(((((F132)+(F133))+(F134))+(F135))+(F136))+(F137)</f>
        <v>0</v>
      </c>
      <c r="G138" s="14">
        <f t="shared" si="86"/>
        <v>0</v>
      </c>
      <c r="H138" s="26">
        <f>(((((H132)+(H133))+(H134))+(H135))+(H136))+(H137)</f>
        <v>0</v>
      </c>
      <c r="I138" s="14">
        <f t="shared" si="87"/>
        <v>0</v>
      </c>
      <c r="J138" s="26">
        <f>(((((J132)+(J133))+(J134))+(J135))+(J136))+(J137)</f>
        <v>0</v>
      </c>
      <c r="K138" s="14">
        <f t="shared" si="88"/>
        <v>0</v>
      </c>
      <c r="L138" s="35">
        <f>(((((L132)+(L133))+(L134))+(L135))+(L136))+(L137)</f>
        <v>0</v>
      </c>
      <c r="M138" s="14">
        <f t="shared" si="89"/>
        <v>0</v>
      </c>
      <c r="N138" s="45">
        <v>0</v>
      </c>
      <c r="O138" s="14">
        <f t="shared" si="90"/>
        <v>0</v>
      </c>
      <c r="P138" s="11"/>
      <c r="Q138" s="14">
        <f t="shared" si="91"/>
        <v>0</v>
      </c>
      <c r="R138" s="11"/>
      <c r="S138" s="14">
        <f t="shared" si="92"/>
        <v>0</v>
      </c>
      <c r="T138" s="11"/>
      <c r="U138" s="14">
        <f t="shared" si="93"/>
        <v>0</v>
      </c>
      <c r="V138" s="11"/>
      <c r="W138" s="14">
        <f t="shared" si="94"/>
        <v>0</v>
      </c>
      <c r="X138" s="11"/>
      <c r="Y138" s="19">
        <f t="shared" si="95"/>
        <v>0</v>
      </c>
      <c r="Z138" s="13"/>
      <c r="AA138" s="41">
        <f t="shared" si="45"/>
        <v>0</v>
      </c>
      <c r="AB138" s="38">
        <f>(((((AB132)+(AB133))+(AB134))+(AB135))+(AB136))+(AB137)</f>
        <v>1060</v>
      </c>
      <c r="AC138" s="29">
        <f t="shared" si="70"/>
        <v>-1060</v>
      </c>
      <c r="AD138" s="32">
        <f t="shared" si="71"/>
        <v>0</v>
      </c>
      <c r="AE138" s="79">
        <f>(((((AE132)+(AE133))+(AE134))+(AE135))+(AE136))+(AE137)</f>
        <v>950</v>
      </c>
      <c r="AF138" s="72"/>
    </row>
    <row r="139" spans="1:32">
      <c r="A139" s="1" t="s">
        <v>96</v>
      </c>
      <c r="B139" s="26">
        <f>((((((((((B61)+(B68))+(B74))+(B80))+(B94))+(B111))+(B122))+(B128))+(B129))+(B130))+(B138)</f>
        <v>129879.34</v>
      </c>
      <c r="C139" s="14">
        <f t="shared" si="84"/>
        <v>0.19660703399298093</v>
      </c>
      <c r="D139" s="26">
        <f>((((((((((D61)+(D68))+(D74))+(D80))+(D94))+(D111))+(D122))+(D128))+(D129))+(D130))+(D138)</f>
        <v>67215.149999999994</v>
      </c>
      <c r="E139" s="14">
        <f t="shared" si="85"/>
        <v>0.10174806309374002</v>
      </c>
      <c r="F139" s="26">
        <f>((((((((((F61)+(F68))+(F74))+(F80))+(F94))+(F111))+(F122))+(F128))+(F129))+(F130))+(F138)</f>
        <v>46296.4</v>
      </c>
      <c r="G139" s="14">
        <f t="shared" si="86"/>
        <v>7.0081953669864999E-2</v>
      </c>
      <c r="H139" s="26">
        <f>((((((((((H61)+(H68))+(H74))+(H80))+(H94))+(H111))+(H122))+(H128))+(H129))+(H130))+(H138)</f>
        <v>20266.580000000002</v>
      </c>
      <c r="I139" s="14">
        <f t="shared" si="87"/>
        <v>3.0678876124420312E-2</v>
      </c>
      <c r="J139" s="26">
        <f>((((((((((J61)+(J68))+(J74))+(J80))+(J94))+(J111))+(J122))+(J128))+(J129))+(J130))+(J138)</f>
        <v>57940.18</v>
      </c>
      <c r="K139" s="14">
        <f t="shared" si="88"/>
        <v>8.7707921358542745E-2</v>
      </c>
      <c r="L139" s="35">
        <f>((((((((((L61)+(L68))+(L74))+(L80))+(L94))+(L111))+(L122))+(L128))+(L129))+(L130))+(L138)</f>
        <v>49544.38</v>
      </c>
      <c r="M139" s="14">
        <f t="shared" si="89"/>
        <v>7.4998637988314118E-2</v>
      </c>
      <c r="N139" s="45">
        <v>39696.6</v>
      </c>
      <c r="O139" s="14">
        <f t="shared" si="90"/>
        <v>6.0091395487579219E-2</v>
      </c>
      <c r="P139" s="11"/>
      <c r="Q139" s="14">
        <f t="shared" si="91"/>
        <v>0</v>
      </c>
      <c r="R139" s="11"/>
      <c r="S139" s="14">
        <f t="shared" si="92"/>
        <v>0</v>
      </c>
      <c r="T139" s="11"/>
      <c r="U139" s="14">
        <f t="shared" si="93"/>
        <v>0</v>
      </c>
      <c r="V139" s="11"/>
      <c r="W139" s="14">
        <f t="shared" si="94"/>
        <v>0</v>
      </c>
      <c r="X139" s="11"/>
      <c r="Y139" s="19">
        <f t="shared" si="95"/>
        <v>0</v>
      </c>
      <c r="Z139" s="13"/>
      <c r="AA139" s="41">
        <v>724963</v>
      </c>
      <c r="AB139" s="38">
        <f>((((((((((AB61)+(AB68))+(AB74))+(AB80))+(AB94))+(AB111))+(AB122))+(AB128))+(AB129))+(AB130))+(AB138)</f>
        <v>660603.73</v>
      </c>
      <c r="AC139" s="29">
        <f t="shared" si="70"/>
        <v>64359.270000000019</v>
      </c>
      <c r="AD139" s="32">
        <f t="shared" si="71"/>
        <v>1.0974249267408769</v>
      </c>
      <c r="AE139" s="79">
        <v>591827</v>
      </c>
      <c r="AF139" s="72"/>
    </row>
    <row r="140" spans="1:32">
      <c r="A140" s="1" t="s">
        <v>97</v>
      </c>
      <c r="B140" s="26">
        <f>(B42)-(B139)</f>
        <v>86034.59</v>
      </c>
      <c r="C140" s="14">
        <f t="shared" si="84"/>
        <v>1.4791577623357701</v>
      </c>
      <c r="D140" s="26">
        <f>(D42)-(D139)</f>
        <v>33768.060000000012</v>
      </c>
      <c r="E140" s="14">
        <f t="shared" si="85"/>
        <v>0.5805605404526254</v>
      </c>
      <c r="F140" s="26">
        <f>(F42)-(F139)</f>
        <v>-36760.79</v>
      </c>
      <c r="G140" s="14">
        <f t="shared" si="86"/>
        <v>-0.63201333182496899</v>
      </c>
      <c r="H140" s="26">
        <f>(H42)-(H139)</f>
        <v>95913.58</v>
      </c>
      <c r="I140" s="14">
        <f t="shared" si="87"/>
        <v>1.649003224986751</v>
      </c>
      <c r="J140" s="26">
        <f>(J42)-(J139)</f>
        <v>-50234.84</v>
      </c>
      <c r="K140" s="14">
        <f t="shared" si="88"/>
        <v>-0.86366720089786486</v>
      </c>
      <c r="L140" s="35">
        <f>(L42)-(L139)</f>
        <v>-41125.99</v>
      </c>
      <c r="M140" s="14">
        <f t="shared" si="89"/>
        <v>-0.70706244246928196</v>
      </c>
      <c r="N140" s="45">
        <v>59545.939999999995</v>
      </c>
      <c r="O140" s="14">
        <f t="shared" si="90"/>
        <v>1.023749161431234</v>
      </c>
      <c r="P140" s="11"/>
      <c r="Q140" s="14">
        <f t="shared" si="91"/>
        <v>0</v>
      </c>
      <c r="R140" s="11"/>
      <c r="S140" s="14">
        <f t="shared" si="92"/>
        <v>0</v>
      </c>
      <c r="T140" s="11"/>
      <c r="U140" s="14">
        <f t="shared" si="93"/>
        <v>0</v>
      </c>
      <c r="V140" s="11"/>
      <c r="W140" s="14">
        <f t="shared" si="94"/>
        <v>0</v>
      </c>
      <c r="X140" s="11"/>
      <c r="Y140" s="19">
        <f t="shared" si="95"/>
        <v>0</v>
      </c>
      <c r="Z140" s="13"/>
      <c r="AA140" s="41">
        <v>185661</v>
      </c>
      <c r="AB140" s="38">
        <f>(AB42)-(AB139)</f>
        <v>58164.580000000075</v>
      </c>
      <c r="AC140" s="29">
        <f t="shared" si="70"/>
        <v>127496.41999999993</v>
      </c>
      <c r="AD140" s="32">
        <f t="shared" si="71"/>
        <v>3.1919941655213493</v>
      </c>
      <c r="AE140" s="79">
        <v>40213</v>
      </c>
      <c r="AF140" s="72"/>
    </row>
    <row r="141" spans="1:32" ht="16" thickBot="1">
      <c r="A141" s="1" t="s">
        <v>220</v>
      </c>
      <c r="B141" s="26">
        <f>(B140)+(0)</f>
        <v>86034.59</v>
      </c>
      <c r="C141" s="20">
        <f t="shared" si="84"/>
        <v>1.4791577623357701</v>
      </c>
      <c r="D141" s="26">
        <f>(D140)+(0)</f>
        <v>33768.060000000012</v>
      </c>
      <c r="E141" s="20">
        <f t="shared" si="85"/>
        <v>0.5805605404526254</v>
      </c>
      <c r="F141" s="26">
        <f>(F140)+(0)</f>
        <v>-36760.79</v>
      </c>
      <c r="G141" s="20">
        <f t="shared" si="86"/>
        <v>-0.63201333182496899</v>
      </c>
      <c r="H141" s="26">
        <f>(H140)+(0)</f>
        <v>95913.58</v>
      </c>
      <c r="I141" s="20">
        <f t="shared" si="87"/>
        <v>1.649003224986751</v>
      </c>
      <c r="J141" s="26">
        <f>(J140)+(0)</f>
        <v>-50234.84</v>
      </c>
      <c r="K141" s="20">
        <f t="shared" si="88"/>
        <v>-0.86366720089786486</v>
      </c>
      <c r="L141" s="35">
        <f>(L140)+(0)</f>
        <v>-41125.99</v>
      </c>
      <c r="M141" s="20">
        <f t="shared" si="89"/>
        <v>-0.70706244246928196</v>
      </c>
      <c r="N141" s="45">
        <v>59545.939999999995</v>
      </c>
      <c r="O141" s="20">
        <f t="shared" si="90"/>
        <v>1.023749161431234</v>
      </c>
      <c r="P141" s="11"/>
      <c r="Q141" s="20">
        <f t="shared" si="91"/>
        <v>0</v>
      </c>
      <c r="R141" s="11"/>
      <c r="S141" s="20">
        <f t="shared" si="92"/>
        <v>0</v>
      </c>
      <c r="T141" s="11"/>
      <c r="U141" s="20">
        <f t="shared" si="93"/>
        <v>0</v>
      </c>
      <c r="V141" s="11"/>
      <c r="W141" s="20">
        <f t="shared" si="94"/>
        <v>0</v>
      </c>
      <c r="X141" s="11"/>
      <c r="Y141" s="21">
        <f t="shared" si="95"/>
        <v>0</v>
      </c>
      <c r="Z141" s="13"/>
      <c r="AA141" s="44">
        <v>185661</v>
      </c>
      <c r="AB141" s="38">
        <f>(AB140)+(0)</f>
        <v>58164.580000000075</v>
      </c>
      <c r="AC141" s="29">
        <f t="shared" si="70"/>
        <v>127496.41999999993</v>
      </c>
      <c r="AD141" s="32">
        <f t="shared" si="71"/>
        <v>3.1919941655213493</v>
      </c>
      <c r="AE141" s="79">
        <f>(AE140)+(0)</f>
        <v>40213</v>
      </c>
      <c r="AF141" s="72"/>
    </row>
    <row r="142" spans="1:32" ht="16" thickBo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  <c r="AB142" s="2"/>
      <c r="AC142" s="2"/>
      <c r="AD142" s="2"/>
      <c r="AF142" s="72"/>
    </row>
    <row r="143" spans="1:32" ht="26" thickBot="1">
      <c r="A143" s="55" t="s">
        <v>60</v>
      </c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7" t="s">
        <v>196</v>
      </c>
      <c r="AF143" s="72"/>
    </row>
    <row r="144" spans="1:32" s="7" customFormat="1">
      <c r="A144" s="48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</row>
    <row r="145" spans="1:32" ht="25">
      <c r="A145" s="58" t="s">
        <v>201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3"/>
      <c r="AF145" s="53"/>
    </row>
    <row r="146" spans="1:32" s="7" customFormat="1">
      <c r="A146" s="59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3"/>
      <c r="AF146" s="53"/>
    </row>
    <row r="147" spans="1:32">
      <c r="A147" s="54" t="s">
        <v>197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3"/>
      <c r="AF147" s="53"/>
    </row>
    <row r="148" spans="1:32">
      <c r="A148" s="54" t="s">
        <v>198</v>
      </c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3"/>
      <c r="AF148" s="53"/>
    </row>
    <row r="149" spans="1:32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3"/>
      <c r="AF149" s="53"/>
    </row>
    <row r="150" spans="1:32">
      <c r="A150" s="54" t="s">
        <v>199</v>
      </c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3"/>
      <c r="AF150" s="53"/>
    </row>
    <row r="151" spans="1:32">
      <c r="A151" s="54" t="s">
        <v>200</v>
      </c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3"/>
      <c r="AF151" s="53"/>
    </row>
  </sheetData>
  <phoneticPr fontId="6" type="noConversion"/>
  <pageMargins left="0.7" right="0.7" top="0.75" bottom="0.75" header="0.3" footer="0.3"/>
  <pageSetup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5"/>
  <sheetViews>
    <sheetView view="pageLayout" workbookViewId="0">
      <selection activeCell="B113" sqref="B113:M113"/>
    </sheetView>
  </sheetViews>
  <sheetFormatPr baseColWidth="10" defaultColWidth="10.5" defaultRowHeight="15"/>
  <cols>
    <col min="1" max="1" width="22" style="7" customWidth="1"/>
    <col min="2" max="2" width="11.1640625" style="7" customWidth="1"/>
    <col min="3" max="3" width="14.6640625" style="7" customWidth="1"/>
    <col min="4" max="4" width="14.83203125" style="7" customWidth="1"/>
    <col min="5" max="5" width="5.5" style="7" customWidth="1"/>
    <col min="6" max="6" width="6.6640625" style="7" customWidth="1"/>
    <col min="7" max="7" width="5.5" style="7" customWidth="1"/>
    <col min="8" max="8" width="5.6640625" style="7" customWidth="1"/>
    <col min="9" max="9" width="6" style="7" customWidth="1"/>
    <col min="10" max="10" width="5.1640625" style="7" customWidth="1"/>
    <col min="11" max="11" width="5.5" style="7" customWidth="1"/>
    <col min="12" max="12" width="5.83203125" style="7" customWidth="1"/>
    <col min="13" max="13" width="6.33203125" style="7" customWidth="1"/>
    <col min="14" max="16384" width="10.5" style="7"/>
  </cols>
  <sheetData>
    <row r="1" spans="1:13">
      <c r="A1" s="1" t="s">
        <v>136</v>
      </c>
      <c r="B1" s="7" t="s">
        <v>125</v>
      </c>
      <c r="C1" s="7" t="s">
        <v>126</v>
      </c>
      <c r="D1" s="7" t="s">
        <v>127</v>
      </c>
      <c r="E1" s="7" t="s">
        <v>128</v>
      </c>
      <c r="F1" s="7" t="s">
        <v>129</v>
      </c>
      <c r="G1" s="7" t="s">
        <v>130</v>
      </c>
      <c r="H1" s="7" t="s">
        <v>131</v>
      </c>
      <c r="I1" s="7" t="s">
        <v>132</v>
      </c>
      <c r="J1" s="7" t="s">
        <v>133</v>
      </c>
      <c r="K1" s="7" t="s">
        <v>119</v>
      </c>
      <c r="L1" s="7" t="s">
        <v>134</v>
      </c>
      <c r="M1" s="7" t="s">
        <v>135</v>
      </c>
    </row>
    <row r="2" spans="1:13">
      <c r="A2" s="1" t="s">
        <v>72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>
      <c r="A3" s="1" t="s">
        <v>73</v>
      </c>
      <c r="B3" s="23">
        <f>'Budget vs. Actuals'!B9</f>
        <v>0</v>
      </c>
      <c r="C3" s="23">
        <f>'Budget vs. Actuals'!D9</f>
        <v>0</v>
      </c>
      <c r="D3" s="23">
        <f>'Budget vs. Actuals'!F9</f>
        <v>0</v>
      </c>
      <c r="E3" s="23">
        <f>'Budget vs. Actuals'!H9</f>
        <v>0</v>
      </c>
      <c r="F3" s="23">
        <f>'Budget vs. Actuals'!J9</f>
        <v>0</v>
      </c>
      <c r="G3" s="23">
        <f>'Budget vs. Actuals'!L9</f>
        <v>0</v>
      </c>
      <c r="H3" s="23">
        <f>'Budget vs. Actuals'!N9</f>
        <v>0</v>
      </c>
      <c r="I3" s="23">
        <f>'Budget vs. Actuals'!P9</f>
        <v>0</v>
      </c>
      <c r="J3" s="23">
        <f>'Budget vs. Actuals'!R9</f>
        <v>0</v>
      </c>
      <c r="K3" s="23">
        <f>'Budget vs. Actuals'!T9</f>
        <v>0</v>
      </c>
      <c r="L3" s="23">
        <f>'Budget vs. Actuals'!V9</f>
        <v>0</v>
      </c>
      <c r="M3" s="23">
        <f>'Budget vs. Actuals'!X9</f>
        <v>0</v>
      </c>
    </row>
    <row r="4" spans="1:13">
      <c r="A4" s="1" t="s">
        <v>74</v>
      </c>
      <c r="B4" s="23">
        <f>'Budget vs. Actuals'!B10</f>
        <v>0</v>
      </c>
      <c r="C4" s="23">
        <f>'Budget vs. Actuals'!D10</f>
        <v>0</v>
      </c>
      <c r="D4" s="23">
        <f>'Budget vs. Actuals'!F10</f>
        <v>0</v>
      </c>
      <c r="E4" s="23">
        <f>'Budget vs. Actuals'!H10</f>
        <v>0</v>
      </c>
      <c r="F4" s="23">
        <f>'Budget vs. Actuals'!J10</f>
        <v>0</v>
      </c>
      <c r="G4" s="23">
        <f>'Budget vs. Actuals'!L10</f>
        <v>0</v>
      </c>
      <c r="H4" s="23">
        <f>'Budget vs. Actuals'!N10</f>
        <v>0</v>
      </c>
      <c r="I4" s="23">
        <f>'Budget vs. Actuals'!P10</f>
        <v>0</v>
      </c>
      <c r="J4" s="23">
        <f>'Budget vs. Actuals'!R10</f>
        <v>0</v>
      </c>
      <c r="K4" s="23">
        <f>'Budget vs. Actuals'!T10</f>
        <v>0</v>
      </c>
      <c r="L4" s="23">
        <f>'Budget vs. Actuals'!V10</f>
        <v>0</v>
      </c>
      <c r="M4" s="23">
        <f>'Budget vs. Actuals'!X10</f>
        <v>0</v>
      </c>
    </row>
    <row r="5" spans="1:13">
      <c r="A5" s="1" t="s">
        <v>75</v>
      </c>
      <c r="B5" s="23">
        <f>'Budget vs. Actuals'!B11</f>
        <v>0</v>
      </c>
      <c r="C5" s="23">
        <f>'Budget vs. Actuals'!D11</f>
        <v>0</v>
      </c>
      <c r="D5" s="23">
        <f>'Budget vs. Actuals'!F11</f>
        <v>0</v>
      </c>
      <c r="E5" s="23">
        <f>'Budget vs. Actuals'!H11</f>
        <v>0</v>
      </c>
      <c r="F5" s="23">
        <f>'Budget vs. Actuals'!J11</f>
        <v>0</v>
      </c>
      <c r="G5" s="23">
        <f>'Budget vs. Actuals'!L11</f>
        <v>0</v>
      </c>
      <c r="H5" s="23">
        <f>'Budget vs. Actuals'!N11</f>
        <v>0</v>
      </c>
      <c r="I5" s="23">
        <f>'Budget vs. Actuals'!P11</f>
        <v>0</v>
      </c>
      <c r="J5" s="23">
        <f>'Budget vs. Actuals'!R11</f>
        <v>0</v>
      </c>
      <c r="K5" s="23">
        <f>'Budget vs. Actuals'!T11</f>
        <v>0</v>
      </c>
      <c r="L5" s="23">
        <f>'Budget vs. Actuals'!V11</f>
        <v>0</v>
      </c>
      <c r="M5" s="23">
        <f>'Budget vs. Actuals'!X11</f>
        <v>0</v>
      </c>
    </row>
    <row r="6" spans="1:13" ht="25">
      <c r="A6" s="1" t="s">
        <v>76</v>
      </c>
      <c r="B6" s="23">
        <f>'Budget vs. Actuals'!B12</f>
        <v>0</v>
      </c>
      <c r="C6" s="23">
        <f>'Budget vs. Actuals'!D12</f>
        <v>95332.89</v>
      </c>
      <c r="D6" s="23">
        <f>'Budget vs. Actuals'!F12</f>
        <v>0</v>
      </c>
      <c r="E6" s="23">
        <f>'Budget vs. Actuals'!H12</f>
        <v>109875.16</v>
      </c>
      <c r="F6" s="23">
        <f>'Budget vs. Actuals'!J12</f>
        <v>0</v>
      </c>
      <c r="G6" s="23">
        <f>'Budget vs. Actuals'!L12</f>
        <v>0</v>
      </c>
      <c r="H6" s="23">
        <f>'Budget vs. Actuals'!N12</f>
        <v>90122.54</v>
      </c>
      <c r="I6" s="23">
        <f>'Budget vs. Actuals'!P12</f>
        <v>0</v>
      </c>
      <c r="J6" s="23">
        <f>'Budget vs. Actuals'!R12</f>
        <v>0</v>
      </c>
      <c r="K6" s="23">
        <f>'Budget vs. Actuals'!T12</f>
        <v>0</v>
      </c>
      <c r="L6" s="23">
        <f>'Budget vs. Actuals'!V12</f>
        <v>0</v>
      </c>
      <c r="M6" s="23">
        <f>'Budget vs. Actuals'!X12</f>
        <v>0</v>
      </c>
    </row>
    <row r="7" spans="1:13">
      <c r="A7" s="1" t="s">
        <v>77</v>
      </c>
      <c r="B7" s="23">
        <f>'Budget vs. Actuals'!B13</f>
        <v>1061</v>
      </c>
      <c r="C7" s="23">
        <f>'Budget vs. Actuals'!D13</f>
        <v>1035</v>
      </c>
      <c r="D7" s="23">
        <f>'Budget vs. Actuals'!F13</f>
        <v>569</v>
      </c>
      <c r="E7" s="23">
        <f>'Budget vs. Actuals'!H13</f>
        <v>1625</v>
      </c>
      <c r="F7" s="23">
        <f>'Budget vs. Actuals'!J13</f>
        <v>2760</v>
      </c>
      <c r="G7" s="23">
        <f>'Budget vs. Actuals'!L13</f>
        <v>3680</v>
      </c>
      <c r="H7" s="23">
        <f>'Budget vs. Actuals'!N13</f>
        <v>2645</v>
      </c>
      <c r="I7" s="23">
        <f>'Budget vs. Actuals'!P13</f>
        <v>0</v>
      </c>
      <c r="J7" s="23">
        <f>'Budget vs. Actuals'!R13</f>
        <v>0</v>
      </c>
      <c r="K7" s="23">
        <f>'Budget vs. Actuals'!T13</f>
        <v>0</v>
      </c>
      <c r="L7" s="23">
        <f>'Budget vs. Actuals'!V13</f>
        <v>0</v>
      </c>
      <c r="M7" s="23">
        <f>'Budget vs. Actuals'!X13</f>
        <v>0</v>
      </c>
    </row>
    <row r="8" spans="1:13">
      <c r="A8" s="1" t="s">
        <v>78</v>
      </c>
      <c r="B8" s="23">
        <f>'Budget vs. Actuals'!B14</f>
        <v>0</v>
      </c>
      <c r="C8" s="23">
        <f>'Budget vs. Actuals'!D14</f>
        <v>0</v>
      </c>
      <c r="D8" s="23">
        <f>'Budget vs. Actuals'!F14</f>
        <v>0</v>
      </c>
      <c r="E8" s="23">
        <f>'Budget vs. Actuals'!H14</f>
        <v>0</v>
      </c>
      <c r="F8" s="23">
        <f>'Budget vs. Actuals'!J14</f>
        <v>0</v>
      </c>
      <c r="G8" s="23">
        <f>'Budget vs. Actuals'!L14</f>
        <v>0</v>
      </c>
      <c r="H8" s="23">
        <f>'Budget vs. Actuals'!N14</f>
        <v>0</v>
      </c>
      <c r="I8" s="23">
        <f>'Budget vs. Actuals'!P14</f>
        <v>0</v>
      </c>
      <c r="J8" s="23">
        <f>'Budget vs. Actuals'!R14</f>
        <v>0</v>
      </c>
      <c r="K8" s="23">
        <f>'Budget vs. Actuals'!T14</f>
        <v>0</v>
      </c>
      <c r="L8" s="23">
        <f>'Budget vs. Actuals'!V14</f>
        <v>0</v>
      </c>
      <c r="M8" s="23">
        <f>'Budget vs. Actuals'!X14</f>
        <v>0</v>
      </c>
    </row>
    <row r="9" spans="1:13" ht="25">
      <c r="A9" s="1" t="s">
        <v>79</v>
      </c>
      <c r="B9" s="23">
        <f>'Budget vs. Actuals'!B16</f>
        <v>205408.31</v>
      </c>
      <c r="C9" s="23">
        <f>'Budget vs. Actuals'!D16</f>
        <v>0</v>
      </c>
      <c r="D9" s="23">
        <f>'Budget vs. Actuals'!F16</f>
        <v>0</v>
      </c>
      <c r="E9" s="23">
        <f>'Budget vs. Actuals'!H16</f>
        <v>0</v>
      </c>
      <c r="F9" s="23">
        <f>'Budget vs. Actuals'!J16</f>
        <v>0</v>
      </c>
      <c r="G9" s="23">
        <f>'Budget vs. Actuals'!L16</f>
        <v>0</v>
      </c>
      <c r="H9" s="23">
        <f>'Budget vs. Actuals'!N16</f>
        <v>0</v>
      </c>
      <c r="I9" s="23">
        <f>'Budget vs. Actuals'!P16</f>
        <v>0</v>
      </c>
      <c r="J9" s="23">
        <f>'Budget vs. Actuals'!R16</f>
        <v>0</v>
      </c>
      <c r="K9" s="23">
        <f>'Budget vs. Actuals'!T16</f>
        <v>0</v>
      </c>
      <c r="L9" s="23">
        <f>'Budget vs. Actuals'!V16</f>
        <v>0</v>
      </c>
      <c r="M9" s="23">
        <f>'Budget vs. Actuals'!X16</f>
        <v>0</v>
      </c>
    </row>
    <row r="10" spans="1:13" ht="25">
      <c r="A10" s="1" t="s">
        <v>80</v>
      </c>
      <c r="B10" s="23">
        <f>'Budget vs. Actuals'!B19</f>
        <v>2074.62</v>
      </c>
      <c r="C10" s="23">
        <f>'Budget vs. Actuals'!D19</f>
        <v>0</v>
      </c>
      <c r="D10" s="23">
        <f>'Budget vs. Actuals'!F19</f>
        <v>0</v>
      </c>
      <c r="E10" s="23">
        <f>'Budget vs. Actuals'!H19</f>
        <v>0</v>
      </c>
      <c r="F10" s="23">
        <f>'Budget vs. Actuals'!J19</f>
        <v>0</v>
      </c>
      <c r="G10" s="23">
        <f>'Budget vs. Actuals'!L19</f>
        <v>0</v>
      </c>
      <c r="H10" s="23">
        <f>'Budget vs. Actuals'!N19</f>
        <v>0</v>
      </c>
      <c r="I10" s="23">
        <f>'Budget vs. Actuals'!P19</f>
        <v>0</v>
      </c>
      <c r="J10" s="23">
        <f>'Budget vs. Actuals'!R19</f>
        <v>0</v>
      </c>
      <c r="K10" s="23">
        <f>'Budget vs. Actuals'!T19</f>
        <v>0</v>
      </c>
      <c r="L10" s="23">
        <f>'Budget vs. Actuals'!V19</f>
        <v>0</v>
      </c>
      <c r="M10" s="23">
        <f>'Budget vs. Actuals'!X19</f>
        <v>0</v>
      </c>
    </row>
    <row r="11" spans="1:13" ht="25">
      <c r="A11" s="1" t="s">
        <v>81</v>
      </c>
      <c r="B11" s="23">
        <f>'Budget vs. Actuals'!B20</f>
        <v>0</v>
      </c>
      <c r="C11" s="23">
        <f>'Budget vs. Actuals'!D20</f>
        <v>0</v>
      </c>
      <c r="D11" s="23">
        <f>'Budget vs. Actuals'!F20</f>
        <v>0</v>
      </c>
      <c r="E11" s="23">
        <f>'Budget vs. Actuals'!H20</f>
        <v>0</v>
      </c>
      <c r="F11" s="23">
        <f>'Budget vs. Actuals'!J20</f>
        <v>0</v>
      </c>
      <c r="G11" s="23">
        <f>'Budget vs. Actuals'!L20</f>
        <v>0</v>
      </c>
      <c r="H11" s="23">
        <f>'Budget vs. Actuals'!N20</f>
        <v>0</v>
      </c>
      <c r="I11" s="23">
        <f>'Budget vs. Actuals'!P20</f>
        <v>0</v>
      </c>
      <c r="J11" s="23">
        <f>'Budget vs. Actuals'!R20</f>
        <v>0</v>
      </c>
      <c r="K11" s="23">
        <f>'Budget vs. Actuals'!T20</f>
        <v>0</v>
      </c>
      <c r="L11" s="23">
        <f>'Budget vs. Actuals'!V20</f>
        <v>0</v>
      </c>
      <c r="M11" s="23">
        <f>'Budget vs. Actuals'!X20</f>
        <v>0</v>
      </c>
    </row>
    <row r="12" spans="1:13">
      <c r="A12" s="1" t="s">
        <v>82</v>
      </c>
      <c r="B12" s="23">
        <f>'Budget vs. Actuals'!B21</f>
        <v>208543.93</v>
      </c>
      <c r="C12" s="23">
        <f>'Budget vs. Actuals'!D21</f>
        <v>96367.89</v>
      </c>
      <c r="D12" s="23">
        <f>'Budget vs. Actuals'!F21</f>
        <v>569</v>
      </c>
      <c r="E12" s="23">
        <f>'Budget vs. Actuals'!H21</f>
        <v>111500.16</v>
      </c>
      <c r="F12" s="23">
        <f>'Budget vs. Actuals'!J21</f>
        <v>2760</v>
      </c>
      <c r="G12" s="23">
        <f>'Budget vs. Actuals'!L21</f>
        <v>3680</v>
      </c>
      <c r="H12" s="23">
        <f>'Budget vs. Actuals'!N21</f>
        <v>92767.54</v>
      </c>
      <c r="I12" s="23">
        <f>'Budget vs. Actuals'!P21</f>
        <v>0</v>
      </c>
      <c r="J12" s="23">
        <f>'Budget vs. Actuals'!R21</f>
        <v>0</v>
      </c>
      <c r="K12" s="23">
        <f>'Budget vs. Actuals'!T21</f>
        <v>0</v>
      </c>
      <c r="L12" s="23">
        <f>'Budget vs. Actuals'!V21</f>
        <v>0</v>
      </c>
      <c r="M12" s="23">
        <f>'Budget vs. Actuals'!X21</f>
        <v>0</v>
      </c>
    </row>
    <row r="13" spans="1:13">
      <c r="A13" s="1" t="s">
        <v>83</v>
      </c>
      <c r="B13" s="23">
        <f>'Budget vs. Actuals'!B22</f>
        <v>0</v>
      </c>
      <c r="C13" s="23">
        <f>'Budget vs. Actuals'!D22</f>
        <v>0</v>
      </c>
      <c r="D13" s="23">
        <f>'Budget vs. Actuals'!F22</f>
        <v>0</v>
      </c>
      <c r="E13" s="23">
        <f>'Budget vs. Actuals'!H22</f>
        <v>0</v>
      </c>
      <c r="F13" s="23">
        <f>'Budget vs. Actuals'!J22</f>
        <v>0</v>
      </c>
      <c r="G13" s="23">
        <f>'Budget vs. Actuals'!L22</f>
        <v>0</v>
      </c>
      <c r="H13" s="23">
        <f>'Budget vs. Actuals'!N22</f>
        <v>0</v>
      </c>
      <c r="I13" s="23">
        <f>'Budget vs. Actuals'!P22</f>
        <v>0</v>
      </c>
      <c r="J13" s="23">
        <f>'Budget vs. Actuals'!R22</f>
        <v>0</v>
      </c>
      <c r="K13" s="23">
        <f>'Budget vs. Actuals'!T22</f>
        <v>0</v>
      </c>
      <c r="L13" s="23">
        <f>'Budget vs. Actuals'!V22</f>
        <v>0</v>
      </c>
      <c r="M13" s="23">
        <f>'Budget vs. Actuals'!X22</f>
        <v>0</v>
      </c>
    </row>
    <row r="14" spans="1:13">
      <c r="A14" s="1" t="s">
        <v>84</v>
      </c>
      <c r="B14" s="23">
        <f>'Budget vs. Actuals'!B23</f>
        <v>0</v>
      </c>
      <c r="C14" s="23">
        <f>'Budget vs. Actuals'!D23</f>
        <v>0</v>
      </c>
      <c r="D14" s="23">
        <f>'Budget vs. Actuals'!F23</f>
        <v>0</v>
      </c>
      <c r="E14" s="23">
        <f>'Budget vs. Actuals'!H23</f>
        <v>0</v>
      </c>
      <c r="F14" s="23">
        <f>'Budget vs. Actuals'!J23</f>
        <v>0</v>
      </c>
      <c r="G14" s="23">
        <f>'Budget vs. Actuals'!L23</f>
        <v>0</v>
      </c>
      <c r="H14" s="23">
        <f>'Budget vs. Actuals'!N23</f>
        <v>0</v>
      </c>
      <c r="I14" s="23">
        <f>'Budget vs. Actuals'!P23</f>
        <v>0</v>
      </c>
      <c r="J14" s="23">
        <f>'Budget vs. Actuals'!R23</f>
        <v>0</v>
      </c>
      <c r="K14" s="23">
        <f>'Budget vs. Actuals'!T23</f>
        <v>0</v>
      </c>
      <c r="L14" s="23">
        <f>'Budget vs. Actuals'!V23</f>
        <v>0</v>
      </c>
      <c r="M14" s="23">
        <f>'Budget vs. Actuals'!X23</f>
        <v>0</v>
      </c>
    </row>
    <row r="15" spans="1:13" ht="25">
      <c r="A15" s="1" t="s">
        <v>85</v>
      </c>
      <c r="B15" s="23">
        <f>'Budget vs. Actuals'!B24</f>
        <v>0</v>
      </c>
      <c r="C15" s="23">
        <f>'Budget vs. Actuals'!D24</f>
        <v>0</v>
      </c>
      <c r="D15" s="23">
        <f>'Budget vs. Actuals'!F24</f>
        <v>0</v>
      </c>
      <c r="E15" s="23">
        <f>'Budget vs. Actuals'!H24</f>
        <v>0</v>
      </c>
      <c r="F15" s="23">
        <f>'Budget vs. Actuals'!J24</f>
        <v>0</v>
      </c>
      <c r="G15" s="23">
        <f>'Budget vs. Actuals'!L24</f>
        <v>0</v>
      </c>
      <c r="H15" s="23">
        <f>'Budget vs. Actuals'!N24</f>
        <v>0</v>
      </c>
      <c r="I15" s="23">
        <f>'Budget vs. Actuals'!P24</f>
        <v>0</v>
      </c>
      <c r="J15" s="23">
        <f>'Budget vs. Actuals'!R24</f>
        <v>0</v>
      </c>
      <c r="K15" s="23">
        <f>'Budget vs. Actuals'!T24</f>
        <v>0</v>
      </c>
      <c r="L15" s="23">
        <f>'Budget vs. Actuals'!V24</f>
        <v>0</v>
      </c>
      <c r="M15" s="23">
        <f>'Budget vs. Actuals'!X24</f>
        <v>0</v>
      </c>
    </row>
    <row r="16" spans="1:13">
      <c r="A16" s="1" t="s">
        <v>86</v>
      </c>
      <c r="B16" s="23">
        <f>'Budget vs. Actuals'!B25</f>
        <v>0</v>
      </c>
      <c r="C16" s="23">
        <f>'Budget vs. Actuals'!D25</f>
        <v>0</v>
      </c>
      <c r="D16" s="23">
        <f>'Budget vs. Actuals'!F25</f>
        <v>0</v>
      </c>
      <c r="E16" s="23">
        <f>'Budget vs. Actuals'!H25</f>
        <v>0</v>
      </c>
      <c r="F16" s="23">
        <f>'Budget vs. Actuals'!J25</f>
        <v>0</v>
      </c>
      <c r="G16" s="23">
        <f>'Budget vs. Actuals'!L25</f>
        <v>0</v>
      </c>
      <c r="H16" s="23">
        <f>'Budget vs. Actuals'!N25</f>
        <v>0</v>
      </c>
      <c r="I16" s="23">
        <f>'Budget vs. Actuals'!P25</f>
        <v>0</v>
      </c>
      <c r="J16" s="23">
        <f>'Budget vs. Actuals'!R25</f>
        <v>0</v>
      </c>
      <c r="K16" s="23">
        <f>'Budget vs. Actuals'!T25</f>
        <v>0</v>
      </c>
      <c r="L16" s="23">
        <f>'Budget vs. Actuals'!V25</f>
        <v>0</v>
      </c>
      <c r="M16" s="23">
        <f>'Budget vs. Actuals'!X25</f>
        <v>0</v>
      </c>
    </row>
    <row r="17" spans="1:13" ht="25">
      <c r="A17" s="1" t="s">
        <v>87</v>
      </c>
      <c r="B17" s="23">
        <f>'Budget vs. Actuals'!B26</f>
        <v>0</v>
      </c>
      <c r="C17" s="23">
        <f>'Budget vs. Actuals'!D26</f>
        <v>0</v>
      </c>
      <c r="D17" s="23">
        <f>'Budget vs. Actuals'!F26</f>
        <v>0</v>
      </c>
      <c r="E17" s="23">
        <f>'Budget vs. Actuals'!H26</f>
        <v>0</v>
      </c>
      <c r="F17" s="23">
        <f>'Budget vs. Actuals'!J26</f>
        <v>0</v>
      </c>
      <c r="G17" s="23">
        <f>'Budget vs. Actuals'!L26</f>
        <v>0</v>
      </c>
      <c r="H17" s="23">
        <f>'Budget vs. Actuals'!N26</f>
        <v>0</v>
      </c>
      <c r="I17" s="23">
        <f>'Budget vs. Actuals'!P26</f>
        <v>0</v>
      </c>
      <c r="J17" s="23">
        <f>'Budget vs. Actuals'!R26</f>
        <v>0</v>
      </c>
      <c r="K17" s="23">
        <f>'Budget vs. Actuals'!T26</f>
        <v>0</v>
      </c>
      <c r="L17" s="23">
        <f>'Budget vs. Actuals'!V26</f>
        <v>0</v>
      </c>
      <c r="M17" s="23">
        <f>'Budget vs. Actuals'!X26</f>
        <v>0</v>
      </c>
    </row>
    <row r="18" spans="1:13">
      <c r="A18" s="1" t="s">
        <v>88</v>
      </c>
      <c r="B18" s="23">
        <f>'Budget vs. Actuals'!B27</f>
        <v>0</v>
      </c>
      <c r="C18" s="23">
        <f>'Budget vs. Actuals'!D27</f>
        <v>0</v>
      </c>
      <c r="D18" s="23">
        <f>'Budget vs. Actuals'!F27</f>
        <v>30</v>
      </c>
      <c r="E18" s="23">
        <f>'Budget vs. Actuals'!H27</f>
        <v>0</v>
      </c>
      <c r="F18" s="23">
        <f>'Budget vs. Actuals'!J27</f>
        <v>0</v>
      </c>
      <c r="G18" s="23">
        <f>'Budget vs. Actuals'!L27</f>
        <v>30</v>
      </c>
      <c r="H18" s="23">
        <f>'Budget vs. Actuals'!N27</f>
        <v>0</v>
      </c>
      <c r="I18" s="23">
        <f>'Budget vs. Actuals'!P27</f>
        <v>0</v>
      </c>
      <c r="J18" s="23">
        <f>'Budget vs. Actuals'!R27</f>
        <v>0</v>
      </c>
      <c r="K18" s="23">
        <f>'Budget vs. Actuals'!T27</f>
        <v>0</v>
      </c>
      <c r="L18" s="23">
        <f>'Budget vs. Actuals'!V27</f>
        <v>0</v>
      </c>
      <c r="M18" s="23">
        <f>'Budget vs. Actuals'!X27</f>
        <v>0</v>
      </c>
    </row>
    <row r="19" spans="1:13">
      <c r="A19" s="1" t="s">
        <v>0</v>
      </c>
      <c r="B19" s="23">
        <f>'Budget vs. Actuals'!B28</f>
        <v>160</v>
      </c>
      <c r="C19" s="23">
        <f>'Budget vs. Actuals'!D28</f>
        <v>225</v>
      </c>
      <c r="D19" s="23">
        <f>'Budget vs. Actuals'!F28</f>
        <v>600</v>
      </c>
      <c r="E19" s="23">
        <f>'Budget vs. Actuals'!H28</f>
        <v>790</v>
      </c>
      <c r="F19" s="23">
        <f>'Budget vs. Actuals'!J28</f>
        <v>525</v>
      </c>
      <c r="G19" s="23">
        <f>'Budget vs. Actuals'!L28</f>
        <v>0</v>
      </c>
      <c r="H19" s="23">
        <f>'Budget vs. Actuals'!N28</f>
        <v>75</v>
      </c>
      <c r="I19" s="23">
        <f>'Budget vs. Actuals'!P28</f>
        <v>0</v>
      </c>
      <c r="J19" s="23">
        <f>'Budget vs. Actuals'!R28</f>
        <v>0</v>
      </c>
      <c r="K19" s="23">
        <f>'Budget vs. Actuals'!T28</f>
        <v>0</v>
      </c>
      <c r="L19" s="23">
        <f>'Budget vs. Actuals'!V28</f>
        <v>0</v>
      </c>
      <c r="M19" s="23">
        <f>'Budget vs. Actuals'!X28</f>
        <v>0</v>
      </c>
    </row>
    <row r="20" spans="1:13" ht="25">
      <c r="A20" s="1" t="s">
        <v>1</v>
      </c>
      <c r="B20" s="23">
        <f>'Budget vs. Actuals'!B29</f>
        <v>160</v>
      </c>
      <c r="C20" s="23">
        <f>'Budget vs. Actuals'!D29</f>
        <v>225</v>
      </c>
      <c r="D20" s="23">
        <f>'Budget vs. Actuals'!F29</f>
        <v>630</v>
      </c>
      <c r="E20" s="23">
        <f>'Budget vs. Actuals'!H29</f>
        <v>790</v>
      </c>
      <c r="F20" s="23">
        <f>'Budget vs. Actuals'!J29</f>
        <v>525</v>
      </c>
      <c r="G20" s="23">
        <f>'Budget vs. Actuals'!L29</f>
        <v>30</v>
      </c>
      <c r="H20" s="23">
        <f>'Budget vs. Actuals'!N29</f>
        <v>75</v>
      </c>
      <c r="I20" s="23">
        <f>'Budget vs. Actuals'!P29</f>
        <v>0</v>
      </c>
      <c r="J20" s="23">
        <f>'Budget vs. Actuals'!R29</f>
        <v>0</v>
      </c>
      <c r="K20" s="23">
        <f>'Budget vs. Actuals'!T29</f>
        <v>0</v>
      </c>
      <c r="L20" s="23">
        <f>'Budget vs. Actuals'!V29</f>
        <v>0</v>
      </c>
      <c r="M20" s="23">
        <f>'Budget vs. Actuals'!X29</f>
        <v>0</v>
      </c>
    </row>
    <row r="21" spans="1:13">
      <c r="A21" s="1" t="s">
        <v>2</v>
      </c>
      <c r="B21" s="23">
        <f>'Budget vs. Actuals'!B30</f>
        <v>0</v>
      </c>
      <c r="C21" s="23">
        <f>'Budget vs. Actuals'!D30</f>
        <v>0</v>
      </c>
      <c r="D21" s="23">
        <f>'Budget vs. Actuals'!F30</f>
        <v>0</v>
      </c>
      <c r="E21" s="23">
        <f>'Budget vs. Actuals'!H30</f>
        <v>0</v>
      </c>
      <c r="F21" s="23">
        <f>'Budget vs. Actuals'!J30</f>
        <v>0</v>
      </c>
      <c r="G21" s="23">
        <f>'Budget vs. Actuals'!L30</f>
        <v>0</v>
      </c>
      <c r="H21" s="23">
        <f>'Budget vs. Actuals'!N30</f>
        <v>0</v>
      </c>
      <c r="I21" s="23">
        <f>'Budget vs. Actuals'!P30</f>
        <v>0</v>
      </c>
      <c r="J21" s="23">
        <f>'Budget vs. Actuals'!R30</f>
        <v>0</v>
      </c>
      <c r="K21" s="23">
        <f>'Budget vs. Actuals'!T30</f>
        <v>0</v>
      </c>
      <c r="L21" s="23">
        <f>'Budget vs. Actuals'!V30</f>
        <v>0</v>
      </c>
      <c r="M21" s="23">
        <f>'Budget vs. Actuals'!X30</f>
        <v>0</v>
      </c>
    </row>
    <row r="22" spans="1:13">
      <c r="A22" s="1" t="s">
        <v>3</v>
      </c>
      <c r="B22" s="23">
        <f>'Budget vs. Actuals'!B31</f>
        <v>0</v>
      </c>
      <c r="C22" s="23">
        <f>'Budget vs. Actuals'!D31</f>
        <v>0</v>
      </c>
      <c r="D22" s="23">
        <f>'Budget vs. Actuals'!F31</f>
        <v>1000</v>
      </c>
      <c r="E22" s="23">
        <f>'Budget vs. Actuals'!H31</f>
        <v>1000</v>
      </c>
      <c r="F22" s="23">
        <f>'Budget vs. Actuals'!J31</f>
        <v>0</v>
      </c>
      <c r="G22" s="23">
        <f>'Budget vs. Actuals'!L31</f>
        <v>0</v>
      </c>
      <c r="H22" s="23">
        <f>'Budget vs. Actuals'!N31</f>
        <v>1000</v>
      </c>
      <c r="I22" s="23">
        <f>'Budget vs. Actuals'!P31</f>
        <v>0</v>
      </c>
      <c r="J22" s="23">
        <f>'Budget vs. Actuals'!R31</f>
        <v>0</v>
      </c>
      <c r="K22" s="23">
        <f>'Budget vs. Actuals'!T31</f>
        <v>0</v>
      </c>
      <c r="L22" s="23">
        <f>'Budget vs. Actuals'!V31</f>
        <v>0</v>
      </c>
      <c r="M22" s="23">
        <f>'Budget vs. Actuals'!X31</f>
        <v>0</v>
      </c>
    </row>
    <row r="23" spans="1:13">
      <c r="A23" s="1" t="s">
        <v>4</v>
      </c>
      <c r="B23" s="23">
        <f>'Budget vs. Actuals'!B33</f>
        <v>0</v>
      </c>
      <c r="C23" s="23">
        <f>'Budget vs. Actuals'!D33</f>
        <v>0</v>
      </c>
      <c r="D23" s="23">
        <f>'Budget vs. Actuals'!F33</f>
        <v>0</v>
      </c>
      <c r="E23" s="23">
        <f>'Budget vs. Actuals'!H33</f>
        <v>0</v>
      </c>
      <c r="F23" s="23">
        <f>'Budget vs. Actuals'!J33</f>
        <v>0</v>
      </c>
      <c r="G23" s="23">
        <f>'Budget vs. Actuals'!L33</f>
        <v>0</v>
      </c>
      <c r="H23" s="23">
        <f>'Budget vs. Actuals'!N33</f>
        <v>0</v>
      </c>
      <c r="I23" s="23">
        <f>'Budget vs. Actuals'!P33</f>
        <v>0</v>
      </c>
      <c r="J23" s="23">
        <f>'Budget vs. Actuals'!R33</f>
        <v>0</v>
      </c>
      <c r="K23" s="23">
        <f>'Budget vs. Actuals'!T33</f>
        <v>0</v>
      </c>
      <c r="L23" s="23">
        <f>'Budget vs. Actuals'!V33</f>
        <v>0</v>
      </c>
      <c r="M23" s="23">
        <f>'Budget vs. Actuals'!X33</f>
        <v>0</v>
      </c>
    </row>
    <row r="24" spans="1:13">
      <c r="A24" s="1" t="s">
        <v>5</v>
      </c>
      <c r="B24" s="23">
        <f>'Budget vs. Actuals'!B34</f>
        <v>7210</v>
      </c>
      <c r="C24" s="23">
        <f>'Budget vs. Actuals'!D34</f>
        <v>4390</v>
      </c>
      <c r="D24" s="23">
        <f>'Budget vs. Actuals'!F34</f>
        <v>5120</v>
      </c>
      <c r="E24" s="23">
        <f>'Budget vs. Actuals'!H34</f>
        <v>2890</v>
      </c>
      <c r="F24" s="23">
        <f>'Budget vs. Actuals'!J34</f>
        <v>4420</v>
      </c>
      <c r="G24" s="23">
        <f>'Budget vs. Actuals'!L34</f>
        <v>6925</v>
      </c>
      <c r="H24" s="23">
        <f>'Budget vs. Actuals'!N34</f>
        <v>5400</v>
      </c>
      <c r="I24" s="23">
        <f>'Budget vs. Actuals'!P34</f>
        <v>0</v>
      </c>
      <c r="J24" s="23">
        <f>'Budget vs. Actuals'!R34</f>
        <v>0</v>
      </c>
      <c r="K24" s="23">
        <f>'Budget vs. Actuals'!T34</f>
        <v>0</v>
      </c>
      <c r="L24" s="23">
        <f>'Budget vs. Actuals'!V34</f>
        <v>0</v>
      </c>
      <c r="M24" s="23">
        <f>'Budget vs. Actuals'!X34</f>
        <v>0</v>
      </c>
    </row>
    <row r="25" spans="1:13" ht="25">
      <c r="A25" s="1" t="s">
        <v>6</v>
      </c>
      <c r="B25" s="23">
        <f>'Budget vs. Actuals'!B35</f>
        <v>7210</v>
      </c>
      <c r="C25" s="23">
        <f>'Budget vs. Actuals'!D35</f>
        <v>4390</v>
      </c>
      <c r="D25" s="23">
        <f>'Budget vs. Actuals'!F35</f>
        <v>6120</v>
      </c>
      <c r="E25" s="23">
        <f>'Budget vs. Actuals'!H35</f>
        <v>3890</v>
      </c>
      <c r="F25" s="23">
        <f>'Budget vs. Actuals'!J35</f>
        <v>4420</v>
      </c>
      <c r="G25" s="23">
        <f>'Budget vs. Actuals'!L35</f>
        <v>6925</v>
      </c>
      <c r="H25" s="23">
        <f>'Budget vs. Actuals'!N35</f>
        <v>6400</v>
      </c>
      <c r="I25" s="23">
        <f>'Budget vs. Actuals'!P35</f>
        <v>0</v>
      </c>
      <c r="J25" s="23">
        <f>'Budget vs. Actuals'!R35</f>
        <v>0</v>
      </c>
      <c r="K25" s="23">
        <f>'Budget vs. Actuals'!T35</f>
        <v>0</v>
      </c>
      <c r="L25" s="23">
        <f>'Budget vs. Actuals'!V35</f>
        <v>0</v>
      </c>
      <c r="M25" s="23">
        <f>'Budget vs. Actuals'!X35</f>
        <v>0</v>
      </c>
    </row>
    <row r="26" spans="1:13">
      <c r="A26" s="1" t="s">
        <v>7</v>
      </c>
      <c r="B26" s="23">
        <f>'Budget vs. Actuals'!B36</f>
        <v>0</v>
      </c>
      <c r="C26" s="23">
        <f>'Budget vs. Actuals'!D36</f>
        <v>0</v>
      </c>
      <c r="D26" s="23">
        <f>'Budget vs. Actuals'!F36</f>
        <v>0</v>
      </c>
      <c r="E26" s="23">
        <f>'Budget vs. Actuals'!H36</f>
        <v>0</v>
      </c>
      <c r="F26" s="23">
        <f>'Budget vs. Actuals'!J36</f>
        <v>0</v>
      </c>
      <c r="G26" s="23">
        <f>'Budget vs. Actuals'!L36</f>
        <v>0</v>
      </c>
      <c r="H26" s="23">
        <f>'Budget vs. Actuals'!N36</f>
        <v>0</v>
      </c>
      <c r="I26" s="23">
        <f>'Budget vs. Actuals'!P36</f>
        <v>0</v>
      </c>
      <c r="J26" s="23">
        <f>'Budget vs. Actuals'!R36</f>
        <v>0</v>
      </c>
      <c r="K26" s="23">
        <f>'Budget vs. Actuals'!T36</f>
        <v>0</v>
      </c>
      <c r="L26" s="23">
        <f>'Budget vs. Actuals'!V36</f>
        <v>0</v>
      </c>
      <c r="M26" s="23">
        <f>'Budget vs. Actuals'!X36</f>
        <v>0</v>
      </c>
    </row>
    <row r="27" spans="1:13">
      <c r="A27" s="1" t="s">
        <v>8</v>
      </c>
      <c r="B27" s="23">
        <f>'Budget vs. Actuals'!B37</f>
        <v>0</v>
      </c>
      <c r="C27" s="23">
        <f>'Budget vs. Actuals'!D37</f>
        <v>0.32</v>
      </c>
      <c r="D27" s="23">
        <f>'Budget vs. Actuals'!F37</f>
        <v>0</v>
      </c>
      <c r="E27" s="23">
        <f>'Budget vs. Actuals'!H37</f>
        <v>0</v>
      </c>
      <c r="F27" s="23">
        <f>'Budget vs. Actuals'!J37</f>
        <v>0.34</v>
      </c>
      <c r="G27" s="23">
        <f>'Budget vs. Actuals'!L37</f>
        <v>0</v>
      </c>
      <c r="H27" s="23">
        <f>'Budget vs. Actuals'!N37</f>
        <v>0</v>
      </c>
      <c r="I27" s="23">
        <f>'Budget vs. Actuals'!P37</f>
        <v>0</v>
      </c>
      <c r="J27" s="23">
        <f>'Budget vs. Actuals'!R37</f>
        <v>0</v>
      </c>
      <c r="K27" s="23">
        <f>'Budget vs. Actuals'!T37</f>
        <v>0</v>
      </c>
      <c r="L27" s="23">
        <f>'Budget vs. Actuals'!V37</f>
        <v>0</v>
      </c>
      <c r="M27" s="23">
        <f>'Budget vs. Actuals'!X37</f>
        <v>0</v>
      </c>
    </row>
    <row r="28" spans="1:13">
      <c r="A28" s="1" t="s">
        <v>9</v>
      </c>
      <c r="B28" s="23">
        <f>'Budget vs. Actuals'!B38</f>
        <v>0</v>
      </c>
      <c r="C28" s="23">
        <f>'Budget vs. Actuals'!D38</f>
        <v>0</v>
      </c>
      <c r="D28" s="23">
        <f>'Budget vs. Actuals'!F38</f>
        <v>2216.61</v>
      </c>
      <c r="E28" s="23">
        <f>'Budget vs. Actuals'!H38</f>
        <v>0</v>
      </c>
      <c r="F28" s="23">
        <f>'Budget vs. Actuals'!J38</f>
        <v>0</v>
      </c>
      <c r="G28" s="23">
        <f>'Budget vs. Actuals'!L38</f>
        <v>-2216.61</v>
      </c>
      <c r="H28" s="23">
        <f>'Budget vs. Actuals'!N38</f>
        <v>0</v>
      </c>
      <c r="I28" s="23">
        <f>'Budget vs. Actuals'!P38</f>
        <v>0</v>
      </c>
      <c r="J28" s="23">
        <f>'Budget vs. Actuals'!R38</f>
        <v>0</v>
      </c>
      <c r="K28" s="23">
        <f>'Budget vs. Actuals'!T38</f>
        <v>0</v>
      </c>
      <c r="L28" s="23">
        <f>'Budget vs. Actuals'!V38</f>
        <v>0</v>
      </c>
      <c r="M28" s="23">
        <f>'Budget vs. Actuals'!X38</f>
        <v>0</v>
      </c>
    </row>
    <row r="29" spans="1:13">
      <c r="A29" s="1" t="s">
        <v>10</v>
      </c>
      <c r="B29" s="23">
        <f>'Budget vs. Actuals'!B39</f>
        <v>0</v>
      </c>
      <c r="C29" s="23">
        <f>'Budget vs. Actuals'!D39</f>
        <v>0.32</v>
      </c>
      <c r="D29" s="23">
        <f>'Budget vs. Actuals'!F39</f>
        <v>2216.61</v>
      </c>
      <c r="E29" s="23">
        <f>'Budget vs. Actuals'!H39</f>
        <v>0</v>
      </c>
      <c r="F29" s="23">
        <f>'Budget vs. Actuals'!J39</f>
        <v>0.34</v>
      </c>
      <c r="G29" s="23">
        <f>'Budget vs. Actuals'!L39</f>
        <v>-2216.61</v>
      </c>
      <c r="H29" s="23">
        <f>'Budget vs. Actuals'!N39</f>
        <v>0</v>
      </c>
      <c r="I29" s="23">
        <f>'Budget vs. Actuals'!P39</f>
        <v>0</v>
      </c>
      <c r="J29" s="23">
        <f>'Budget vs. Actuals'!R39</f>
        <v>0</v>
      </c>
      <c r="K29" s="23">
        <f>'Budget vs. Actuals'!T39</f>
        <v>0</v>
      </c>
      <c r="L29" s="23">
        <f>'Budget vs. Actuals'!V39</f>
        <v>0</v>
      </c>
      <c r="M29" s="23">
        <f>'Budget vs. Actuals'!X39</f>
        <v>0</v>
      </c>
    </row>
    <row r="30" spans="1:13">
      <c r="A30" s="1" t="s">
        <v>11</v>
      </c>
      <c r="B30" s="23">
        <f>'Budget vs. Actuals'!B41</f>
        <v>215913.93</v>
      </c>
      <c r="C30" s="23">
        <f>'Budget vs. Actuals'!D41</f>
        <v>100983.21</v>
      </c>
      <c r="D30" s="23">
        <f>'Budget vs. Actuals'!F41</f>
        <v>9535.61</v>
      </c>
      <c r="E30" s="23">
        <f>'Budget vs. Actuals'!H41</f>
        <v>116180.16</v>
      </c>
      <c r="F30" s="23">
        <f>'Budget vs. Actuals'!J41</f>
        <v>7705.34</v>
      </c>
      <c r="G30" s="23">
        <f>'Budget vs. Actuals'!L41</f>
        <v>8418.39</v>
      </c>
      <c r="H30" s="23">
        <f>'Budget vs. Actuals'!N41</f>
        <v>99242.54</v>
      </c>
      <c r="I30" s="23">
        <f>'Budget vs. Actuals'!P41</f>
        <v>0</v>
      </c>
      <c r="J30" s="23">
        <f>'Budget vs. Actuals'!R41</f>
        <v>0</v>
      </c>
      <c r="K30" s="23">
        <f>'Budget vs. Actuals'!T41</f>
        <v>0</v>
      </c>
      <c r="L30" s="23">
        <f>'Budget vs. Actuals'!V41</f>
        <v>0</v>
      </c>
      <c r="M30" s="23">
        <f>'Budget vs. Actuals'!X41</f>
        <v>0</v>
      </c>
    </row>
    <row r="31" spans="1:13">
      <c r="A31" s="1" t="s">
        <v>12</v>
      </c>
      <c r="B31" s="23">
        <f>'Budget vs. Actuals'!B42</f>
        <v>215913.93</v>
      </c>
      <c r="C31" s="23">
        <f>'Budget vs. Actuals'!D42</f>
        <v>100983.21</v>
      </c>
      <c r="D31" s="23">
        <f>'Budget vs. Actuals'!F42</f>
        <v>9535.61</v>
      </c>
      <c r="E31" s="23">
        <f>'Budget vs. Actuals'!H42</f>
        <v>116180.16</v>
      </c>
      <c r="F31" s="23">
        <f>'Budget vs. Actuals'!J42</f>
        <v>7705.34</v>
      </c>
      <c r="G31" s="23">
        <f>'Budget vs. Actuals'!L42</f>
        <v>8418.39</v>
      </c>
      <c r="H31" s="23">
        <f>'Budget vs. Actuals'!N42</f>
        <v>99242.54</v>
      </c>
      <c r="I31" s="23">
        <f>'Budget vs. Actuals'!P42</f>
        <v>0</v>
      </c>
      <c r="J31" s="23">
        <f>'Budget vs. Actuals'!R42</f>
        <v>0</v>
      </c>
      <c r="K31" s="23">
        <f>'Budget vs. Actuals'!T42</f>
        <v>0</v>
      </c>
      <c r="L31" s="23">
        <f>'Budget vs. Actuals'!V42</f>
        <v>0</v>
      </c>
      <c r="M31" s="23">
        <f>'Budget vs. Actuals'!X42</f>
        <v>0</v>
      </c>
    </row>
    <row r="32" spans="1:13">
      <c r="A32" s="1" t="s">
        <v>13</v>
      </c>
      <c r="B32" s="23">
        <f>'Budget vs. Actuals'!B43</f>
        <v>0</v>
      </c>
      <c r="C32" s="23">
        <f>'Budget vs. Actuals'!D43</f>
        <v>0</v>
      </c>
      <c r="D32" s="23">
        <f>'Budget vs. Actuals'!F43</f>
        <v>0</v>
      </c>
      <c r="E32" s="23">
        <f>'Budget vs. Actuals'!H43</f>
        <v>0</v>
      </c>
      <c r="F32" s="23">
        <f>'Budget vs. Actuals'!J43</f>
        <v>0</v>
      </c>
      <c r="G32" s="23">
        <f>'Budget vs. Actuals'!L43</f>
        <v>0</v>
      </c>
      <c r="H32" s="23">
        <f>'Budget vs. Actuals'!N43</f>
        <v>0</v>
      </c>
      <c r="I32" s="23">
        <f>'Budget vs. Actuals'!P43</f>
        <v>0</v>
      </c>
      <c r="J32" s="23">
        <f>'Budget vs. Actuals'!R43</f>
        <v>0</v>
      </c>
      <c r="K32" s="23">
        <f>'Budget vs. Actuals'!T43</f>
        <v>0</v>
      </c>
      <c r="L32" s="23">
        <f>'Budget vs. Actuals'!V43</f>
        <v>0</v>
      </c>
      <c r="M32" s="23">
        <f>'Budget vs. Actuals'!X43</f>
        <v>0</v>
      </c>
    </row>
    <row r="33" spans="1:13">
      <c r="A33" s="1" t="s">
        <v>14</v>
      </c>
      <c r="B33" s="23">
        <f>'Budget vs. Actuals'!B44</f>
        <v>0</v>
      </c>
      <c r="C33" s="23">
        <f>'Budget vs. Actuals'!D44</f>
        <v>0</v>
      </c>
      <c r="D33" s="23">
        <f>'Budget vs. Actuals'!F44</f>
        <v>0</v>
      </c>
      <c r="E33" s="23">
        <f>'Budget vs. Actuals'!H44</f>
        <v>0</v>
      </c>
      <c r="F33" s="23">
        <f>'Budget vs. Actuals'!J44</f>
        <v>0</v>
      </c>
      <c r="G33" s="23">
        <f>'Budget vs. Actuals'!L44</f>
        <v>0</v>
      </c>
      <c r="H33" s="23">
        <f>'Budget vs. Actuals'!N44</f>
        <v>0</v>
      </c>
      <c r="I33" s="23">
        <f>'Budget vs. Actuals'!P44</f>
        <v>0</v>
      </c>
      <c r="J33" s="23">
        <f>'Budget vs. Actuals'!R44</f>
        <v>0</v>
      </c>
      <c r="K33" s="23">
        <f>'Budget vs. Actuals'!T44</f>
        <v>0</v>
      </c>
      <c r="L33" s="23">
        <f>'Budget vs. Actuals'!V44</f>
        <v>0</v>
      </c>
      <c r="M33" s="23">
        <f>'Budget vs. Actuals'!X44</f>
        <v>0</v>
      </c>
    </row>
    <row r="34" spans="1:13">
      <c r="A34" s="1" t="s">
        <v>15</v>
      </c>
      <c r="B34" s="23">
        <f>'Budget vs. Actuals'!B45</f>
        <v>5000</v>
      </c>
      <c r="C34" s="23">
        <f>'Budget vs. Actuals'!D45</f>
        <v>10000</v>
      </c>
      <c r="D34" s="23">
        <f>'Budget vs. Actuals'!F45</f>
        <v>0</v>
      </c>
      <c r="E34" s="23">
        <f>'Budget vs. Actuals'!H45</f>
        <v>5000</v>
      </c>
      <c r="F34" s="23">
        <f>'Budget vs. Actuals'!J45</f>
        <v>5000</v>
      </c>
      <c r="G34" s="23">
        <f>'Budget vs. Actuals'!L45</f>
        <v>10000</v>
      </c>
      <c r="H34" s="23">
        <f>'Budget vs. Actuals'!N45</f>
        <v>5000</v>
      </c>
      <c r="I34" s="23">
        <f>'Budget vs. Actuals'!P45</f>
        <v>0</v>
      </c>
      <c r="J34" s="23">
        <f>'Budget vs. Actuals'!R45</f>
        <v>0</v>
      </c>
      <c r="K34" s="23">
        <f>'Budget vs. Actuals'!T45</f>
        <v>0</v>
      </c>
      <c r="L34" s="23">
        <f>'Budget vs. Actuals'!V45</f>
        <v>0</v>
      </c>
      <c r="M34" s="23">
        <f>'Budget vs. Actuals'!X45</f>
        <v>0</v>
      </c>
    </row>
    <row r="35" spans="1:13">
      <c r="A35" s="1" t="s">
        <v>16</v>
      </c>
      <c r="B35" s="23">
        <f>'Budget vs. Actuals'!B47</f>
        <v>0</v>
      </c>
      <c r="C35" s="23">
        <f>'Budget vs. Actuals'!D47</f>
        <v>310.32</v>
      </c>
      <c r="D35" s="23">
        <f>'Budget vs. Actuals'!F47</f>
        <v>0</v>
      </c>
      <c r="E35" s="23">
        <f>'Budget vs. Actuals'!H47</f>
        <v>35.119999999999997</v>
      </c>
      <c r="F35" s="23">
        <f>'Budget vs. Actuals'!J47</f>
        <v>0</v>
      </c>
      <c r="G35" s="23">
        <f>'Budget vs. Actuals'!L47</f>
        <v>0</v>
      </c>
      <c r="H35" s="23">
        <f>'Budget vs. Actuals'!N47</f>
        <v>0</v>
      </c>
      <c r="I35" s="23">
        <f>'Budget vs. Actuals'!P47</f>
        <v>0</v>
      </c>
      <c r="J35" s="23">
        <f>'Budget vs. Actuals'!R47</f>
        <v>0</v>
      </c>
      <c r="K35" s="23">
        <f>'Budget vs. Actuals'!T47</f>
        <v>0</v>
      </c>
      <c r="L35" s="23">
        <f>'Budget vs. Actuals'!V47</f>
        <v>0</v>
      </c>
      <c r="M35" s="23">
        <f>'Budget vs. Actuals'!X47</f>
        <v>0</v>
      </c>
    </row>
    <row r="36" spans="1:13">
      <c r="A36" s="1" t="s">
        <v>17</v>
      </c>
      <c r="B36" s="23">
        <f>'Budget vs. Actuals'!B48</f>
        <v>0</v>
      </c>
      <c r="C36" s="23">
        <f>'Budget vs. Actuals'!D48</f>
        <v>378.32</v>
      </c>
      <c r="D36" s="23">
        <f>'Budget vs. Actuals'!F48</f>
        <v>0</v>
      </c>
      <c r="E36" s="23">
        <f>'Budget vs. Actuals'!H48</f>
        <v>0</v>
      </c>
      <c r="F36" s="23">
        <f>'Budget vs. Actuals'!J48</f>
        <v>0</v>
      </c>
      <c r="G36" s="23">
        <f>'Budget vs. Actuals'!L48</f>
        <v>500</v>
      </c>
      <c r="H36" s="23">
        <f>'Budget vs. Actuals'!N48</f>
        <v>0</v>
      </c>
      <c r="I36" s="23">
        <f>'Budget vs. Actuals'!P48</f>
        <v>0</v>
      </c>
      <c r="J36" s="23">
        <f>'Budget vs. Actuals'!R48</f>
        <v>0</v>
      </c>
      <c r="K36" s="23">
        <f>'Budget vs. Actuals'!T48</f>
        <v>0</v>
      </c>
      <c r="L36" s="23">
        <f>'Budget vs. Actuals'!V48</f>
        <v>0</v>
      </c>
      <c r="M36" s="23">
        <f>'Budget vs. Actuals'!X48</f>
        <v>0</v>
      </c>
    </row>
    <row r="37" spans="1:13">
      <c r="A37" s="1" t="s">
        <v>18</v>
      </c>
      <c r="B37" s="23">
        <f>'Budget vs. Actuals'!B49</f>
        <v>0</v>
      </c>
      <c r="C37" s="23">
        <f>'Budget vs. Actuals'!D49</f>
        <v>2331</v>
      </c>
      <c r="D37" s="23">
        <f>'Budget vs. Actuals'!F49</f>
        <v>-1074.52</v>
      </c>
      <c r="E37" s="23">
        <f>'Budget vs. Actuals'!H49</f>
        <v>0</v>
      </c>
      <c r="F37" s="23">
        <f>'Budget vs. Actuals'!J49</f>
        <v>0</v>
      </c>
      <c r="G37" s="23">
        <f>'Budget vs. Actuals'!L49</f>
        <v>1679</v>
      </c>
      <c r="H37" s="23">
        <f>'Budget vs. Actuals'!N49</f>
        <v>0</v>
      </c>
      <c r="I37" s="23">
        <f>'Budget vs. Actuals'!P49</f>
        <v>0</v>
      </c>
      <c r="J37" s="23">
        <f>'Budget vs. Actuals'!R49</f>
        <v>0</v>
      </c>
      <c r="K37" s="23">
        <f>'Budget vs. Actuals'!T49</f>
        <v>0</v>
      </c>
      <c r="L37" s="23">
        <f>'Budget vs. Actuals'!V49</f>
        <v>0</v>
      </c>
      <c r="M37" s="23">
        <f>'Budget vs. Actuals'!X49</f>
        <v>0</v>
      </c>
    </row>
    <row r="38" spans="1:13">
      <c r="A38" s="1" t="s">
        <v>19</v>
      </c>
      <c r="B38" s="23">
        <f>'Budget vs. Actuals'!B50</f>
        <v>827.92</v>
      </c>
      <c r="C38" s="23">
        <f>'Budget vs. Actuals'!D50</f>
        <v>15007.62</v>
      </c>
      <c r="D38" s="23">
        <f>'Budget vs. Actuals'!F50</f>
        <v>236.39</v>
      </c>
      <c r="E38" s="23">
        <f>'Budget vs. Actuals'!H50</f>
        <v>0</v>
      </c>
      <c r="F38" s="23">
        <f>'Budget vs. Actuals'!J50</f>
        <v>0</v>
      </c>
      <c r="G38" s="23">
        <f>'Budget vs. Actuals'!L50</f>
        <v>0</v>
      </c>
      <c r="H38" s="23">
        <f>'Budget vs. Actuals'!N50</f>
        <v>0</v>
      </c>
      <c r="I38" s="23">
        <f>'Budget vs. Actuals'!P50</f>
        <v>0</v>
      </c>
      <c r="J38" s="23">
        <f>'Budget vs. Actuals'!R50</f>
        <v>0</v>
      </c>
      <c r="K38" s="23">
        <f>'Budget vs. Actuals'!T50</f>
        <v>0</v>
      </c>
      <c r="L38" s="23">
        <f>'Budget vs. Actuals'!V50</f>
        <v>0</v>
      </c>
      <c r="M38" s="23">
        <f>'Budget vs. Actuals'!X50</f>
        <v>0</v>
      </c>
    </row>
    <row r="39" spans="1:13">
      <c r="A39" s="1" t="s">
        <v>20</v>
      </c>
      <c r="B39" s="23">
        <f>'Budget vs. Actuals'!B51</f>
        <v>0</v>
      </c>
      <c r="C39" s="23">
        <f>'Budget vs. Actuals'!D51</f>
        <v>0</v>
      </c>
      <c r="D39" s="23">
        <f>'Budget vs. Actuals'!F51</f>
        <v>0</v>
      </c>
      <c r="E39" s="23">
        <f>'Budget vs. Actuals'!H51</f>
        <v>0</v>
      </c>
      <c r="F39" s="23">
        <f>'Budget vs. Actuals'!J51</f>
        <v>0</v>
      </c>
      <c r="G39" s="23">
        <f>'Budget vs. Actuals'!L51</f>
        <v>0</v>
      </c>
      <c r="H39" s="23">
        <f>'Budget vs. Actuals'!N51</f>
        <v>0</v>
      </c>
      <c r="I39" s="23">
        <f>'Budget vs. Actuals'!P51</f>
        <v>0</v>
      </c>
      <c r="J39" s="23">
        <f>'Budget vs. Actuals'!R51</f>
        <v>0</v>
      </c>
      <c r="K39" s="23">
        <f>'Budget vs. Actuals'!T51</f>
        <v>0</v>
      </c>
      <c r="L39" s="23">
        <f>'Budget vs. Actuals'!V51</f>
        <v>0</v>
      </c>
      <c r="M39" s="23">
        <f>'Budget vs. Actuals'!X51</f>
        <v>0</v>
      </c>
    </row>
    <row r="40" spans="1:13">
      <c r="A40" s="1" t="s">
        <v>21</v>
      </c>
      <c r="B40" s="23">
        <f>'Budget vs. Actuals'!B52</f>
        <v>100</v>
      </c>
      <c r="C40" s="23">
        <f>'Budget vs. Actuals'!D52</f>
        <v>200</v>
      </c>
      <c r="D40" s="23">
        <f>'Budget vs. Actuals'!F52</f>
        <v>0</v>
      </c>
      <c r="E40" s="23">
        <f>'Budget vs. Actuals'!H52</f>
        <v>100</v>
      </c>
      <c r="F40" s="23">
        <f>'Budget vs. Actuals'!J52</f>
        <v>100</v>
      </c>
      <c r="G40" s="23">
        <f>'Budget vs. Actuals'!L52</f>
        <v>200</v>
      </c>
      <c r="H40" s="23">
        <f>'Budget vs. Actuals'!N52</f>
        <v>100</v>
      </c>
      <c r="I40" s="23">
        <f>'Budget vs. Actuals'!P52</f>
        <v>0</v>
      </c>
      <c r="J40" s="23">
        <f>'Budget vs. Actuals'!R52</f>
        <v>0</v>
      </c>
      <c r="K40" s="23">
        <f>'Budget vs. Actuals'!T52</f>
        <v>0</v>
      </c>
      <c r="L40" s="23">
        <f>'Budget vs. Actuals'!V52</f>
        <v>0</v>
      </c>
      <c r="M40" s="23">
        <f>'Budget vs. Actuals'!X52</f>
        <v>0</v>
      </c>
    </row>
    <row r="41" spans="1:13">
      <c r="A41" s="1" t="s">
        <v>22</v>
      </c>
      <c r="B41" s="23">
        <f>'Budget vs. Actuals'!B53</f>
        <v>396.36</v>
      </c>
      <c r="C41" s="23">
        <f>'Budget vs. Actuals'!D53</f>
        <v>81.8</v>
      </c>
      <c r="D41" s="23">
        <f>'Budget vs. Actuals'!F53</f>
        <v>340.03</v>
      </c>
      <c r="E41" s="23">
        <f>'Budget vs. Actuals'!H53</f>
        <v>42.84</v>
      </c>
      <c r="F41" s="23">
        <f>'Budget vs. Actuals'!J53</f>
        <v>176.44</v>
      </c>
      <c r="G41" s="23">
        <f>'Budget vs. Actuals'!L53</f>
        <v>157.35</v>
      </c>
      <c r="H41" s="23">
        <f>'Budget vs. Actuals'!N53</f>
        <v>54.67</v>
      </c>
      <c r="I41" s="23">
        <f>'Budget vs. Actuals'!P53</f>
        <v>0</v>
      </c>
      <c r="J41" s="23">
        <f>'Budget vs. Actuals'!R53</f>
        <v>0</v>
      </c>
      <c r="K41" s="23">
        <f>'Budget vs. Actuals'!T53</f>
        <v>0</v>
      </c>
      <c r="L41" s="23">
        <f>'Budget vs. Actuals'!V53</f>
        <v>0</v>
      </c>
      <c r="M41" s="23">
        <f>'Budget vs. Actuals'!X53</f>
        <v>0</v>
      </c>
    </row>
    <row r="42" spans="1:13">
      <c r="A42" s="1" t="s">
        <v>23</v>
      </c>
      <c r="B42" s="23">
        <f>'Budget vs. Actuals'!B54</f>
        <v>214</v>
      </c>
      <c r="C42" s="23">
        <f>'Budget vs. Actuals'!D54</f>
        <v>29.8</v>
      </c>
      <c r="D42" s="23">
        <f>'Budget vs. Actuals'!F54</f>
        <v>24.02</v>
      </c>
      <c r="E42" s="23">
        <f>'Budget vs. Actuals'!H54</f>
        <v>50</v>
      </c>
      <c r="F42" s="23">
        <f>'Budget vs. Actuals'!J54</f>
        <v>11.5</v>
      </c>
      <c r="G42" s="23">
        <f>'Budget vs. Actuals'!L54</f>
        <v>118.97</v>
      </c>
      <c r="H42" s="23">
        <f>'Budget vs. Actuals'!N54</f>
        <v>0</v>
      </c>
      <c r="I42" s="23">
        <f>'Budget vs. Actuals'!P54</f>
        <v>0</v>
      </c>
      <c r="J42" s="23">
        <f>'Budget vs. Actuals'!R54</f>
        <v>0</v>
      </c>
      <c r="K42" s="23">
        <f>'Budget vs. Actuals'!T54</f>
        <v>0</v>
      </c>
      <c r="L42" s="23">
        <f>'Budget vs. Actuals'!V54</f>
        <v>0</v>
      </c>
      <c r="M42" s="23">
        <f>'Budget vs. Actuals'!X54</f>
        <v>0</v>
      </c>
    </row>
    <row r="43" spans="1:13">
      <c r="A43" s="1" t="s">
        <v>24</v>
      </c>
      <c r="B43" s="23">
        <f>'Budget vs. Actuals'!B55</f>
        <v>0</v>
      </c>
      <c r="C43" s="23">
        <f>'Budget vs. Actuals'!D55</f>
        <v>20</v>
      </c>
      <c r="D43" s="23">
        <f>'Budget vs. Actuals'!F55</f>
        <v>0</v>
      </c>
      <c r="E43" s="23">
        <f>'Budget vs. Actuals'!H55</f>
        <v>0</v>
      </c>
      <c r="F43" s="23">
        <f>'Budget vs. Actuals'!J55</f>
        <v>0</v>
      </c>
      <c r="G43" s="23">
        <f>'Budget vs. Actuals'!L55</f>
        <v>0</v>
      </c>
      <c r="H43" s="23">
        <f>'Budget vs. Actuals'!N55</f>
        <v>0</v>
      </c>
      <c r="I43" s="23">
        <f>'Budget vs. Actuals'!P55</f>
        <v>0</v>
      </c>
      <c r="J43" s="23">
        <f>'Budget vs. Actuals'!R55</f>
        <v>0</v>
      </c>
      <c r="K43" s="23">
        <f>'Budget vs. Actuals'!T55</f>
        <v>0</v>
      </c>
      <c r="L43" s="23">
        <f>'Budget vs. Actuals'!V55</f>
        <v>0</v>
      </c>
      <c r="M43" s="23">
        <f>'Budget vs. Actuals'!X55</f>
        <v>0</v>
      </c>
    </row>
    <row r="44" spans="1:13">
      <c r="A44" s="1" t="s">
        <v>25</v>
      </c>
      <c r="B44" s="23">
        <f>'Budget vs. Actuals'!B56</f>
        <v>175</v>
      </c>
      <c r="C44" s="23">
        <f>'Budget vs. Actuals'!D56</f>
        <v>350</v>
      </c>
      <c r="D44" s="23">
        <f>'Budget vs. Actuals'!F56</f>
        <v>0</v>
      </c>
      <c r="E44" s="23">
        <f>'Budget vs. Actuals'!H56</f>
        <v>175</v>
      </c>
      <c r="F44" s="23">
        <f>'Budget vs. Actuals'!J56</f>
        <v>175</v>
      </c>
      <c r="G44" s="23">
        <f>'Budget vs. Actuals'!L56</f>
        <v>350</v>
      </c>
      <c r="H44" s="23">
        <f>'Budget vs. Actuals'!N56</f>
        <v>175</v>
      </c>
      <c r="I44" s="23">
        <f>'Budget vs. Actuals'!P56</f>
        <v>0</v>
      </c>
      <c r="J44" s="23">
        <f>'Budget vs. Actuals'!R56</f>
        <v>0</v>
      </c>
      <c r="K44" s="23">
        <f>'Budget vs. Actuals'!T56</f>
        <v>0</v>
      </c>
      <c r="L44" s="23">
        <f>'Budget vs. Actuals'!V56</f>
        <v>0</v>
      </c>
      <c r="M44" s="23">
        <f>'Budget vs. Actuals'!X56</f>
        <v>0</v>
      </c>
    </row>
    <row r="45" spans="1:13">
      <c r="A45" s="1" t="s">
        <v>26</v>
      </c>
      <c r="B45" s="23">
        <f>'Budget vs. Actuals'!B57</f>
        <v>187.12</v>
      </c>
      <c r="C45" s="23">
        <f>'Budget vs. Actuals'!D57</f>
        <v>369.64</v>
      </c>
      <c r="D45" s="23">
        <f>'Budget vs. Actuals'!F57</f>
        <v>271.99</v>
      </c>
      <c r="E45" s="23">
        <f>'Budget vs. Actuals'!H57</f>
        <v>287.8</v>
      </c>
      <c r="F45" s="23">
        <f>'Budget vs. Actuals'!J57</f>
        <v>287.08</v>
      </c>
      <c r="G45" s="23">
        <f>'Budget vs. Actuals'!L57</f>
        <v>449.28</v>
      </c>
      <c r="H45" s="23">
        <f>'Budget vs. Actuals'!N57</f>
        <v>425.18</v>
      </c>
      <c r="I45" s="23">
        <f>'Budget vs. Actuals'!P57</f>
        <v>0</v>
      </c>
      <c r="J45" s="23">
        <f>'Budget vs. Actuals'!R57</f>
        <v>0</v>
      </c>
      <c r="K45" s="23">
        <f>'Budget vs. Actuals'!T57</f>
        <v>0</v>
      </c>
      <c r="L45" s="23">
        <f>'Budget vs. Actuals'!V57</f>
        <v>0</v>
      </c>
      <c r="M45" s="23">
        <f>'Budget vs. Actuals'!X57</f>
        <v>0</v>
      </c>
    </row>
    <row r="46" spans="1:13">
      <c r="A46" s="1" t="s">
        <v>27</v>
      </c>
      <c r="B46" s="23">
        <f>'Budget vs. Actuals'!B58</f>
        <v>4125.07</v>
      </c>
      <c r="C46" s="23">
        <f>'Budget vs. Actuals'!D58</f>
        <v>4125.07</v>
      </c>
      <c r="D46" s="23">
        <f>'Budget vs. Actuals'!F58</f>
        <v>3375</v>
      </c>
      <c r="E46" s="23">
        <f>'Budget vs. Actuals'!H58</f>
        <v>1125</v>
      </c>
      <c r="F46" s="23">
        <f>'Budget vs. Actuals'!J58</f>
        <v>2250</v>
      </c>
      <c r="G46" s="23">
        <f>'Budget vs. Actuals'!L58</f>
        <v>3375</v>
      </c>
      <c r="H46" s="23">
        <f>'Budget vs. Actuals'!N58</f>
        <v>1125</v>
      </c>
      <c r="I46" s="23">
        <f>'Budget vs. Actuals'!P58</f>
        <v>0</v>
      </c>
      <c r="J46" s="23">
        <f>'Budget vs. Actuals'!R58</f>
        <v>0</v>
      </c>
      <c r="K46" s="23">
        <f>'Budget vs. Actuals'!T58</f>
        <v>0</v>
      </c>
      <c r="L46" s="23">
        <f>'Budget vs. Actuals'!V58</f>
        <v>0</v>
      </c>
      <c r="M46" s="23">
        <f>'Budget vs. Actuals'!X58</f>
        <v>0</v>
      </c>
    </row>
    <row r="47" spans="1:13">
      <c r="A47" s="1" t="s">
        <v>28</v>
      </c>
      <c r="B47" s="23">
        <f>'Budget vs. Actuals'!B59</f>
        <v>3041.66</v>
      </c>
      <c r="C47" s="23">
        <f>'Budget vs. Actuals'!D59</f>
        <v>3666.66</v>
      </c>
      <c r="D47" s="23">
        <f>'Budget vs. Actuals'!F59</f>
        <v>3937.49</v>
      </c>
      <c r="E47" s="23">
        <f>'Budget vs. Actuals'!H59</f>
        <v>2145.83</v>
      </c>
      <c r="F47" s="23">
        <f>'Budget vs. Actuals'!J59</f>
        <v>3041.66</v>
      </c>
      <c r="G47" s="23">
        <f>'Budget vs. Actuals'!L59</f>
        <v>3937.49</v>
      </c>
      <c r="H47" s="23">
        <f>'Budget vs. Actuals'!N59</f>
        <v>1520.83</v>
      </c>
      <c r="I47" s="23">
        <f>'Budget vs. Actuals'!P59</f>
        <v>0</v>
      </c>
      <c r="J47" s="23">
        <f>'Budget vs. Actuals'!R59</f>
        <v>0</v>
      </c>
      <c r="K47" s="23">
        <f>'Budget vs. Actuals'!T59</f>
        <v>0</v>
      </c>
      <c r="L47" s="23">
        <f>'Budget vs. Actuals'!V59</f>
        <v>0</v>
      </c>
      <c r="M47" s="23">
        <f>'Budget vs. Actuals'!X59</f>
        <v>0</v>
      </c>
    </row>
    <row r="48" spans="1:13">
      <c r="A48" s="1" t="s">
        <v>29</v>
      </c>
      <c r="B48" s="23">
        <f>'Budget vs. Actuals'!B60</f>
        <v>0</v>
      </c>
      <c r="C48" s="23">
        <f>'Budget vs. Actuals'!D60</f>
        <v>0</v>
      </c>
      <c r="D48" s="23">
        <f>'Budget vs. Actuals'!F60</f>
        <v>30</v>
      </c>
      <c r="E48" s="23">
        <f>'Budget vs. Actuals'!H60</f>
        <v>0</v>
      </c>
      <c r="F48" s="23">
        <f>'Budget vs. Actuals'!J60</f>
        <v>51.07</v>
      </c>
      <c r="G48" s="23">
        <f>'Budget vs. Actuals'!L60</f>
        <v>13</v>
      </c>
      <c r="H48" s="23">
        <f>'Budget vs. Actuals'!N60</f>
        <v>0</v>
      </c>
      <c r="I48" s="23">
        <f>'Budget vs. Actuals'!P60</f>
        <v>0</v>
      </c>
      <c r="J48" s="23">
        <f>'Budget vs. Actuals'!R60</f>
        <v>0</v>
      </c>
      <c r="K48" s="23">
        <f>'Budget vs. Actuals'!T60</f>
        <v>0</v>
      </c>
      <c r="L48" s="23">
        <f>'Budget vs. Actuals'!V60</f>
        <v>0</v>
      </c>
      <c r="M48" s="23">
        <f>'Budget vs. Actuals'!X60</f>
        <v>0</v>
      </c>
    </row>
    <row r="49" spans="1:13">
      <c r="A49" s="1" t="s">
        <v>30</v>
      </c>
      <c r="B49" s="23">
        <f>'Budget vs. Actuals'!B61</f>
        <v>14067.13</v>
      </c>
      <c r="C49" s="23">
        <f>'Budget vs. Actuals'!D61</f>
        <v>36870.229999999996</v>
      </c>
      <c r="D49" s="23">
        <f>'Budget vs. Actuals'!F61</f>
        <v>7140.4</v>
      </c>
      <c r="E49" s="23">
        <f>'Budget vs. Actuals'!H61</f>
        <v>8961.59</v>
      </c>
      <c r="F49" s="23">
        <f>'Budget vs. Actuals'!J61</f>
        <v>11092.75</v>
      </c>
      <c r="G49" s="23">
        <f>'Budget vs. Actuals'!L61</f>
        <v>20780.089999999997</v>
      </c>
      <c r="H49" s="23">
        <f>'Budget vs. Actuals'!N61</f>
        <v>8400.68</v>
      </c>
      <c r="I49" s="23">
        <f>'Budget vs. Actuals'!P61</f>
        <v>0</v>
      </c>
      <c r="J49" s="23">
        <f>'Budget vs. Actuals'!R61</f>
        <v>0</v>
      </c>
      <c r="K49" s="23">
        <f>'Budget vs. Actuals'!T61</f>
        <v>0</v>
      </c>
      <c r="L49" s="23">
        <f>'Budget vs. Actuals'!V61</f>
        <v>0</v>
      </c>
      <c r="M49" s="23">
        <f>'Budget vs. Actuals'!X61</f>
        <v>0</v>
      </c>
    </row>
    <row r="50" spans="1:13">
      <c r="A50" s="1" t="s">
        <v>31</v>
      </c>
      <c r="B50" s="23">
        <f>'Budget vs. Actuals'!B62</f>
        <v>0</v>
      </c>
      <c r="C50" s="23">
        <f>'Budget vs. Actuals'!D62</f>
        <v>0</v>
      </c>
      <c r="D50" s="23">
        <f>'Budget vs. Actuals'!F62</f>
        <v>0</v>
      </c>
      <c r="E50" s="23">
        <f>'Budget vs. Actuals'!H62</f>
        <v>0</v>
      </c>
      <c r="F50" s="23">
        <f>'Budget vs. Actuals'!J62</f>
        <v>0</v>
      </c>
      <c r="G50" s="23">
        <f>'Budget vs. Actuals'!L62</f>
        <v>0</v>
      </c>
      <c r="H50" s="23">
        <f>'Budget vs. Actuals'!N62</f>
        <v>0</v>
      </c>
      <c r="I50" s="23">
        <f>'Budget vs. Actuals'!P62</f>
        <v>0</v>
      </c>
      <c r="J50" s="23">
        <f>'Budget vs. Actuals'!R62</f>
        <v>0</v>
      </c>
      <c r="K50" s="23">
        <f>'Budget vs. Actuals'!T62</f>
        <v>0</v>
      </c>
      <c r="L50" s="23">
        <f>'Budget vs. Actuals'!V62</f>
        <v>0</v>
      </c>
      <c r="M50" s="23">
        <f>'Budget vs. Actuals'!X62</f>
        <v>0</v>
      </c>
    </row>
    <row r="51" spans="1:13">
      <c r="A51" s="1" t="s">
        <v>32</v>
      </c>
      <c r="B51" s="23">
        <f>'Budget vs. Actuals'!B63</f>
        <v>0</v>
      </c>
      <c r="C51" s="23">
        <f>'Budget vs. Actuals'!D63</f>
        <v>0</v>
      </c>
      <c r="D51" s="23">
        <f>'Budget vs. Actuals'!F63</f>
        <v>0</v>
      </c>
      <c r="E51" s="23">
        <f>'Budget vs. Actuals'!H63</f>
        <v>0</v>
      </c>
      <c r="F51" s="23">
        <f>'Budget vs. Actuals'!J63</f>
        <v>0</v>
      </c>
      <c r="G51" s="23">
        <f>'Budget vs. Actuals'!L63</f>
        <v>0</v>
      </c>
      <c r="H51" s="23">
        <f>'Budget vs. Actuals'!N63</f>
        <v>0</v>
      </c>
      <c r="I51" s="23">
        <f>'Budget vs. Actuals'!P63</f>
        <v>0</v>
      </c>
      <c r="J51" s="23">
        <f>'Budget vs. Actuals'!R63</f>
        <v>0</v>
      </c>
      <c r="K51" s="23">
        <f>'Budget vs. Actuals'!T63</f>
        <v>0</v>
      </c>
      <c r="L51" s="23">
        <f>'Budget vs. Actuals'!V63</f>
        <v>0</v>
      </c>
      <c r="M51" s="23">
        <f>'Budget vs. Actuals'!X63</f>
        <v>0</v>
      </c>
    </row>
    <row r="52" spans="1:13">
      <c r="A52" s="1" t="s">
        <v>33</v>
      </c>
      <c r="B52" s="23">
        <f>'Budget vs. Actuals'!B64</f>
        <v>0</v>
      </c>
      <c r="C52" s="23">
        <f>'Budget vs. Actuals'!D64</f>
        <v>0</v>
      </c>
      <c r="D52" s="23">
        <f>'Budget vs. Actuals'!F64</f>
        <v>1496.61</v>
      </c>
      <c r="E52" s="23">
        <f>'Budget vs. Actuals'!H64</f>
        <v>1500</v>
      </c>
      <c r="F52" s="23">
        <f>'Budget vs. Actuals'!J64</f>
        <v>2055.34</v>
      </c>
      <c r="G52" s="23">
        <f>'Budget vs. Actuals'!L64</f>
        <v>0</v>
      </c>
      <c r="H52" s="23">
        <f>'Budget vs. Actuals'!N64</f>
        <v>0</v>
      </c>
      <c r="I52" s="23">
        <f>'Budget vs. Actuals'!P64</f>
        <v>0</v>
      </c>
      <c r="J52" s="23">
        <f>'Budget vs. Actuals'!R64</f>
        <v>0</v>
      </c>
      <c r="K52" s="23">
        <f>'Budget vs. Actuals'!T64</f>
        <v>0</v>
      </c>
      <c r="L52" s="23">
        <f>'Budget vs. Actuals'!V64</f>
        <v>0</v>
      </c>
      <c r="M52" s="23">
        <f>'Budget vs. Actuals'!X64</f>
        <v>0</v>
      </c>
    </row>
    <row r="53" spans="1:13" ht="25">
      <c r="A53" s="1" t="s">
        <v>34</v>
      </c>
      <c r="B53" s="23">
        <f>'Budget vs. Actuals'!B66</f>
        <v>0</v>
      </c>
      <c r="C53" s="23">
        <f>'Budget vs. Actuals'!D66</f>
        <v>0</v>
      </c>
      <c r="D53" s="23">
        <f>'Budget vs. Actuals'!F66</f>
        <v>0</v>
      </c>
      <c r="E53" s="23">
        <f>'Budget vs. Actuals'!H66</f>
        <v>0</v>
      </c>
      <c r="F53" s="23">
        <f>'Budget vs. Actuals'!J66</f>
        <v>0</v>
      </c>
      <c r="G53" s="23">
        <f>'Budget vs. Actuals'!L66</f>
        <v>0</v>
      </c>
      <c r="H53" s="23">
        <f>'Budget vs. Actuals'!N66</f>
        <v>0</v>
      </c>
      <c r="I53" s="23">
        <f>'Budget vs. Actuals'!P66</f>
        <v>0</v>
      </c>
      <c r="J53" s="23">
        <f>'Budget vs. Actuals'!R66</f>
        <v>0</v>
      </c>
      <c r="K53" s="23">
        <f>'Budget vs. Actuals'!T66</f>
        <v>0</v>
      </c>
      <c r="L53" s="23">
        <f>'Budget vs. Actuals'!V66</f>
        <v>0</v>
      </c>
      <c r="M53" s="23">
        <f>'Budget vs. Actuals'!X66</f>
        <v>0</v>
      </c>
    </row>
    <row r="54" spans="1:13">
      <c r="A54" s="1" t="s">
        <v>35</v>
      </c>
      <c r="B54" s="23">
        <f>'Budget vs. Actuals'!B67</f>
        <v>0</v>
      </c>
      <c r="C54" s="23">
        <f>'Budget vs. Actuals'!D67</f>
        <v>0</v>
      </c>
      <c r="D54" s="23">
        <f>'Budget vs. Actuals'!F67</f>
        <v>0</v>
      </c>
      <c r="E54" s="23">
        <f>'Budget vs. Actuals'!H67</f>
        <v>0</v>
      </c>
      <c r="F54" s="23">
        <f>'Budget vs. Actuals'!J67</f>
        <v>0</v>
      </c>
      <c r="G54" s="23">
        <f>'Budget vs. Actuals'!L67</f>
        <v>0</v>
      </c>
      <c r="H54" s="23">
        <f>'Budget vs. Actuals'!N67</f>
        <v>0</v>
      </c>
      <c r="I54" s="23">
        <f>'Budget vs. Actuals'!P67</f>
        <v>0</v>
      </c>
      <c r="J54" s="23">
        <f>'Budget vs. Actuals'!R67</f>
        <v>0</v>
      </c>
      <c r="K54" s="23">
        <f>'Budget vs. Actuals'!T67</f>
        <v>0</v>
      </c>
      <c r="L54" s="23">
        <f>'Budget vs. Actuals'!V67</f>
        <v>0</v>
      </c>
      <c r="M54" s="23">
        <f>'Budget vs. Actuals'!X67</f>
        <v>0</v>
      </c>
    </row>
    <row r="55" spans="1:13">
      <c r="A55" s="1" t="s">
        <v>36</v>
      </c>
      <c r="B55" s="23">
        <f>'Budget vs. Actuals'!B68</f>
        <v>0</v>
      </c>
      <c r="C55" s="23">
        <f>'Budget vs. Actuals'!D68</f>
        <v>0</v>
      </c>
      <c r="D55" s="23">
        <f>'Budget vs. Actuals'!F68</f>
        <v>1496.61</v>
      </c>
      <c r="E55" s="23">
        <f>'Budget vs. Actuals'!H68</f>
        <v>1500</v>
      </c>
      <c r="F55" s="23">
        <f>'Budget vs. Actuals'!J68</f>
        <v>2055.34</v>
      </c>
      <c r="G55" s="23">
        <f>'Budget vs. Actuals'!L68</f>
        <v>0</v>
      </c>
      <c r="H55" s="23">
        <f>'Budget vs. Actuals'!N68</f>
        <v>0</v>
      </c>
      <c r="I55" s="23">
        <f>'Budget vs. Actuals'!P68</f>
        <v>0</v>
      </c>
      <c r="J55" s="23">
        <f>'Budget vs. Actuals'!R68</f>
        <v>0</v>
      </c>
      <c r="K55" s="23">
        <f>'Budget vs. Actuals'!T68</f>
        <v>0</v>
      </c>
      <c r="L55" s="23">
        <f>'Budget vs. Actuals'!V68</f>
        <v>0</v>
      </c>
      <c r="M55" s="23">
        <f>'Budget vs. Actuals'!X68</f>
        <v>0</v>
      </c>
    </row>
    <row r="56" spans="1:13">
      <c r="A56" s="1" t="s">
        <v>138</v>
      </c>
      <c r="B56" s="23">
        <f>'Budget vs. Actuals'!B69</f>
        <v>0</v>
      </c>
      <c r="C56" s="23">
        <f>'Budget vs. Actuals'!D69</f>
        <v>0</v>
      </c>
      <c r="D56" s="23">
        <f>'Budget vs. Actuals'!F69</f>
        <v>0</v>
      </c>
      <c r="E56" s="23">
        <f>'Budget vs. Actuals'!H69</f>
        <v>0</v>
      </c>
      <c r="F56" s="23">
        <f>'Budget vs. Actuals'!J69</f>
        <v>0</v>
      </c>
      <c r="G56" s="23">
        <f>'Budget vs. Actuals'!L69</f>
        <v>0</v>
      </c>
      <c r="H56" s="23">
        <f>'Budget vs. Actuals'!N69</f>
        <v>0</v>
      </c>
      <c r="I56" s="23">
        <f>'Budget vs. Actuals'!P69</f>
        <v>0</v>
      </c>
      <c r="J56" s="23">
        <f>'Budget vs. Actuals'!R69</f>
        <v>0</v>
      </c>
      <c r="K56" s="23">
        <f>'Budget vs. Actuals'!T69</f>
        <v>0</v>
      </c>
      <c r="L56" s="23">
        <f>'Budget vs. Actuals'!V69</f>
        <v>0</v>
      </c>
      <c r="M56" s="23">
        <f>'Budget vs. Actuals'!X69</f>
        <v>0</v>
      </c>
    </row>
    <row r="57" spans="1:13">
      <c r="A57" s="1" t="s">
        <v>139</v>
      </c>
      <c r="B57" s="23">
        <f>'Budget vs. Actuals'!B70</f>
        <v>8000</v>
      </c>
      <c r="C57" s="23">
        <f>'Budget vs. Actuals'!D70</f>
        <v>16000</v>
      </c>
      <c r="D57" s="23">
        <f>'Budget vs. Actuals'!F70</f>
        <v>8000</v>
      </c>
      <c r="E57" s="23">
        <f>'Budget vs. Actuals'!H70</f>
        <v>0</v>
      </c>
      <c r="F57" s="23">
        <f>'Budget vs. Actuals'!J70</f>
        <v>8000</v>
      </c>
      <c r="G57" s="23">
        <f>'Budget vs. Actuals'!L70</f>
        <v>16000</v>
      </c>
      <c r="H57" s="23">
        <f>'Budget vs. Actuals'!N70</f>
        <v>8000</v>
      </c>
      <c r="I57" s="23">
        <f>'Budget vs. Actuals'!P70</f>
        <v>0</v>
      </c>
      <c r="J57" s="23">
        <f>'Budget vs. Actuals'!R70</f>
        <v>0</v>
      </c>
      <c r="K57" s="23">
        <f>'Budget vs. Actuals'!T70</f>
        <v>0</v>
      </c>
      <c r="L57" s="23">
        <f>'Budget vs. Actuals'!V70</f>
        <v>0</v>
      </c>
      <c r="M57" s="23">
        <f>'Budget vs. Actuals'!X70</f>
        <v>0</v>
      </c>
    </row>
    <row r="58" spans="1:13" ht="25">
      <c r="A58" s="1" t="s">
        <v>140</v>
      </c>
      <c r="B58" s="23">
        <f>'Budget vs. Actuals'!B71</f>
        <v>-8.5</v>
      </c>
      <c r="C58" s="23">
        <f>'Budget vs. Actuals'!D71</f>
        <v>274.16000000000003</v>
      </c>
      <c r="D58" s="23">
        <f>'Budget vs. Actuals'!F71</f>
        <v>0</v>
      </c>
      <c r="E58" s="23">
        <f>'Budget vs. Actuals'!H71</f>
        <v>0</v>
      </c>
      <c r="F58" s="23">
        <f>'Budget vs. Actuals'!J71</f>
        <v>0</v>
      </c>
      <c r="G58" s="23">
        <f>'Budget vs. Actuals'!L71</f>
        <v>221</v>
      </c>
      <c r="H58" s="23">
        <f>'Budget vs. Actuals'!N71</f>
        <v>0</v>
      </c>
      <c r="I58" s="23">
        <f>'Budget vs. Actuals'!P71</f>
        <v>0</v>
      </c>
      <c r="J58" s="23">
        <f>'Budget vs. Actuals'!R71</f>
        <v>0</v>
      </c>
      <c r="K58" s="23">
        <f>'Budget vs. Actuals'!T71</f>
        <v>0</v>
      </c>
      <c r="L58" s="23">
        <f>'Budget vs. Actuals'!V71</f>
        <v>0</v>
      </c>
      <c r="M58" s="23">
        <f>'Budget vs. Actuals'!X71</f>
        <v>0</v>
      </c>
    </row>
    <row r="59" spans="1:13" ht="25">
      <c r="A59" s="1" t="s">
        <v>141</v>
      </c>
      <c r="B59" s="23">
        <f>'Budget vs. Actuals'!B72</f>
        <v>0</v>
      </c>
      <c r="C59" s="23">
        <f>'Budget vs. Actuals'!D72</f>
        <v>0</v>
      </c>
      <c r="D59" s="23">
        <f>'Budget vs. Actuals'!F72</f>
        <v>0</v>
      </c>
      <c r="E59" s="23">
        <f>'Budget vs. Actuals'!H72</f>
        <v>0</v>
      </c>
      <c r="F59" s="23">
        <f>'Budget vs. Actuals'!J72</f>
        <v>0</v>
      </c>
      <c r="G59" s="23">
        <f>'Budget vs. Actuals'!L72</f>
        <v>0</v>
      </c>
      <c r="H59" s="23">
        <f>'Budget vs. Actuals'!N72</f>
        <v>0</v>
      </c>
      <c r="I59" s="23">
        <f>'Budget vs. Actuals'!P72</f>
        <v>0</v>
      </c>
      <c r="J59" s="23">
        <f>'Budget vs. Actuals'!R72</f>
        <v>0</v>
      </c>
      <c r="K59" s="23">
        <f>'Budget vs. Actuals'!T72</f>
        <v>0</v>
      </c>
      <c r="L59" s="23">
        <f>'Budget vs. Actuals'!V72</f>
        <v>0</v>
      </c>
      <c r="M59" s="23">
        <f>'Budget vs. Actuals'!X72</f>
        <v>0</v>
      </c>
    </row>
    <row r="60" spans="1:13">
      <c r="A60" s="1" t="s">
        <v>142</v>
      </c>
      <c r="B60" s="23">
        <f>'Budget vs. Actuals'!B74</f>
        <v>7991.5</v>
      </c>
      <c r="C60" s="23">
        <f>'Budget vs. Actuals'!D74</f>
        <v>16274.16</v>
      </c>
      <c r="D60" s="23">
        <f>'Budget vs. Actuals'!F74</f>
        <v>8000</v>
      </c>
      <c r="E60" s="23">
        <f>'Budget vs. Actuals'!H74</f>
        <v>0</v>
      </c>
      <c r="F60" s="23">
        <f>'Budget vs. Actuals'!J74</f>
        <v>8000</v>
      </c>
      <c r="G60" s="23">
        <f>'Budget vs. Actuals'!L74</f>
        <v>16221</v>
      </c>
      <c r="H60" s="23">
        <f>'Budget vs. Actuals'!N74</f>
        <v>8000</v>
      </c>
      <c r="I60" s="23">
        <f>'Budget vs. Actuals'!P74</f>
        <v>0</v>
      </c>
      <c r="J60" s="23">
        <f>'Budget vs. Actuals'!R74</f>
        <v>0</v>
      </c>
      <c r="K60" s="23">
        <f>'Budget vs. Actuals'!T74</f>
        <v>0</v>
      </c>
      <c r="L60" s="23">
        <f>'Budget vs. Actuals'!V74</f>
        <v>0</v>
      </c>
      <c r="M60" s="23">
        <f>'Budget vs. Actuals'!X74</f>
        <v>0</v>
      </c>
    </row>
    <row r="61" spans="1:13">
      <c r="A61" s="1" t="s">
        <v>143</v>
      </c>
      <c r="B61" s="23">
        <f>'Budget vs. Actuals'!B75</f>
        <v>0</v>
      </c>
      <c r="C61" s="23">
        <f>'Budget vs. Actuals'!D75</f>
        <v>0</v>
      </c>
      <c r="D61" s="23">
        <f>'Budget vs. Actuals'!F75</f>
        <v>0</v>
      </c>
      <c r="E61" s="23">
        <f>'Budget vs. Actuals'!H75</f>
        <v>0</v>
      </c>
      <c r="F61" s="23">
        <f>'Budget vs. Actuals'!J75</f>
        <v>0</v>
      </c>
      <c r="G61" s="23">
        <f>'Budget vs. Actuals'!L75</f>
        <v>0</v>
      </c>
      <c r="H61" s="23">
        <f>'Budget vs. Actuals'!N75</f>
        <v>0</v>
      </c>
      <c r="I61" s="23">
        <f>'Budget vs. Actuals'!P75</f>
        <v>0</v>
      </c>
      <c r="J61" s="23">
        <f>'Budget vs. Actuals'!R75</f>
        <v>0</v>
      </c>
      <c r="K61" s="23">
        <f>'Budget vs. Actuals'!T75</f>
        <v>0</v>
      </c>
      <c r="L61" s="23">
        <f>'Budget vs. Actuals'!V75</f>
        <v>0</v>
      </c>
      <c r="M61" s="23">
        <f>'Budget vs. Actuals'!X75</f>
        <v>0</v>
      </c>
    </row>
    <row r="62" spans="1:13" ht="25">
      <c r="A62" s="1" t="s">
        <v>144</v>
      </c>
      <c r="B62" s="23">
        <f>'Budget vs. Actuals'!B76</f>
        <v>0</v>
      </c>
      <c r="C62" s="23">
        <f>'Budget vs. Actuals'!D76</f>
        <v>0</v>
      </c>
      <c r="D62" s="23">
        <f>'Budget vs. Actuals'!F76</f>
        <v>0</v>
      </c>
      <c r="E62" s="23">
        <f>'Budget vs. Actuals'!H76</f>
        <v>0</v>
      </c>
      <c r="F62" s="23">
        <f>'Budget vs. Actuals'!J76</f>
        <v>0</v>
      </c>
      <c r="G62" s="23">
        <f>'Budget vs. Actuals'!L76</f>
        <v>0</v>
      </c>
      <c r="H62" s="23">
        <f>'Budget vs. Actuals'!N76</f>
        <v>0</v>
      </c>
      <c r="I62" s="23">
        <f>'Budget vs. Actuals'!P76</f>
        <v>0</v>
      </c>
      <c r="J62" s="23">
        <f>'Budget vs. Actuals'!R76</f>
        <v>0</v>
      </c>
      <c r="K62" s="23">
        <f>'Budget vs. Actuals'!T76</f>
        <v>0</v>
      </c>
      <c r="L62" s="23">
        <f>'Budget vs. Actuals'!V76</f>
        <v>0</v>
      </c>
      <c r="M62" s="23">
        <f>'Budget vs. Actuals'!X76</f>
        <v>0</v>
      </c>
    </row>
    <row r="63" spans="1:13">
      <c r="A63" s="1" t="s">
        <v>145</v>
      </c>
      <c r="B63" s="23">
        <f>'Budget vs. Actuals'!B78</f>
        <v>583.33000000000004</v>
      </c>
      <c r="C63" s="23">
        <f>'Budget vs. Actuals'!D78</f>
        <v>233.33</v>
      </c>
      <c r="D63" s="23">
        <f>'Budget vs. Actuals'!F78</f>
        <v>166.66</v>
      </c>
      <c r="E63" s="23">
        <f>'Budget vs. Actuals'!H78</f>
        <v>0</v>
      </c>
      <c r="F63" s="23">
        <f>'Budget vs. Actuals'!J78</f>
        <v>83.33</v>
      </c>
      <c r="G63" s="23">
        <f>'Budget vs. Actuals'!L78</f>
        <v>166.66</v>
      </c>
      <c r="H63" s="23">
        <f>'Budget vs. Actuals'!N78</f>
        <v>1908</v>
      </c>
      <c r="I63" s="23">
        <f>'Budget vs. Actuals'!P78</f>
        <v>0</v>
      </c>
      <c r="J63" s="23">
        <f>'Budget vs. Actuals'!R78</f>
        <v>0</v>
      </c>
      <c r="K63" s="23">
        <f>'Budget vs. Actuals'!T78</f>
        <v>0</v>
      </c>
      <c r="L63" s="23">
        <f>'Budget vs. Actuals'!V78</f>
        <v>0</v>
      </c>
      <c r="M63" s="23">
        <f>'Budget vs. Actuals'!X78</f>
        <v>0</v>
      </c>
    </row>
    <row r="64" spans="1:13">
      <c r="A64" s="1" t="s">
        <v>146</v>
      </c>
      <c r="B64" s="23">
        <f>'Budget vs. Actuals'!B79</f>
        <v>0</v>
      </c>
      <c r="C64" s="23">
        <f>'Budget vs. Actuals'!D79</f>
        <v>0</v>
      </c>
      <c r="D64" s="23">
        <f>'Budget vs. Actuals'!F79</f>
        <v>0</v>
      </c>
      <c r="E64" s="23">
        <f>'Budget vs. Actuals'!H79</f>
        <v>100</v>
      </c>
      <c r="F64" s="23">
        <f>'Budget vs. Actuals'!J79</f>
        <v>0</v>
      </c>
      <c r="G64" s="23">
        <f>'Budget vs. Actuals'!L79</f>
        <v>0</v>
      </c>
      <c r="H64" s="23">
        <f>'Budget vs. Actuals'!N79</f>
        <v>0</v>
      </c>
      <c r="I64" s="23">
        <f>'Budget vs. Actuals'!P79</f>
        <v>0</v>
      </c>
      <c r="J64" s="23">
        <f>'Budget vs. Actuals'!R79</f>
        <v>0</v>
      </c>
      <c r="K64" s="23">
        <f>'Budget vs. Actuals'!T79</f>
        <v>0</v>
      </c>
      <c r="L64" s="23">
        <f>'Budget vs. Actuals'!V79</f>
        <v>0</v>
      </c>
      <c r="M64" s="23">
        <f>'Budget vs. Actuals'!X79</f>
        <v>0</v>
      </c>
    </row>
    <row r="65" spans="1:13" ht="25">
      <c r="A65" s="1" t="s">
        <v>147</v>
      </c>
      <c r="B65" s="23">
        <f>'Budget vs. Actuals'!B80</f>
        <v>583.33000000000004</v>
      </c>
      <c r="C65" s="23">
        <f>'Budget vs. Actuals'!D80</f>
        <v>233.33</v>
      </c>
      <c r="D65" s="23">
        <f>'Budget vs. Actuals'!F80</f>
        <v>166.66</v>
      </c>
      <c r="E65" s="23">
        <f>'Budget vs. Actuals'!H80</f>
        <v>100</v>
      </c>
      <c r="F65" s="23">
        <f>'Budget vs. Actuals'!J80</f>
        <v>83.33</v>
      </c>
      <c r="G65" s="23">
        <f>'Budget vs. Actuals'!L80</f>
        <v>166.66</v>
      </c>
      <c r="H65" s="23">
        <f>'Budget vs. Actuals'!N80</f>
        <v>1908</v>
      </c>
      <c r="I65" s="23">
        <f>'Budget vs. Actuals'!P80</f>
        <v>0</v>
      </c>
      <c r="J65" s="23">
        <f>'Budget vs. Actuals'!R80</f>
        <v>0</v>
      </c>
      <c r="K65" s="23">
        <f>'Budget vs. Actuals'!T80</f>
        <v>0</v>
      </c>
      <c r="L65" s="23">
        <f>'Budget vs. Actuals'!V80</f>
        <v>0</v>
      </c>
      <c r="M65" s="23">
        <f>'Budget vs. Actuals'!X80</f>
        <v>0</v>
      </c>
    </row>
    <row r="66" spans="1:13" ht="25">
      <c r="A66" s="1" t="s">
        <v>148</v>
      </c>
      <c r="B66" s="23">
        <f>'Budget vs. Actuals'!B81</f>
        <v>0</v>
      </c>
      <c r="C66" s="23">
        <f>'Budget vs. Actuals'!D81</f>
        <v>0</v>
      </c>
      <c r="D66" s="23">
        <f>'Budget vs. Actuals'!F81</f>
        <v>0</v>
      </c>
      <c r="E66" s="23">
        <f>'Budget vs. Actuals'!H81</f>
        <v>0</v>
      </c>
      <c r="F66" s="23">
        <f>'Budget vs. Actuals'!J81</f>
        <v>570.77</v>
      </c>
      <c r="G66" s="23">
        <f>'Budget vs. Actuals'!L81</f>
        <v>0</v>
      </c>
      <c r="H66" s="23">
        <f>'Budget vs. Actuals'!N81</f>
        <v>0</v>
      </c>
      <c r="I66" s="23">
        <f>'Budget vs. Actuals'!P81</f>
        <v>0</v>
      </c>
      <c r="J66" s="23">
        <f>'Budget vs. Actuals'!R81</f>
        <v>0</v>
      </c>
      <c r="K66" s="23">
        <f>'Budget vs. Actuals'!T81</f>
        <v>0</v>
      </c>
      <c r="L66" s="23">
        <f>'Budget vs. Actuals'!V81</f>
        <v>0</v>
      </c>
      <c r="M66" s="23">
        <f>'Budget vs. Actuals'!X81</f>
        <v>0</v>
      </c>
    </row>
    <row r="67" spans="1:13" ht="25">
      <c r="A67" s="1" t="s">
        <v>149</v>
      </c>
      <c r="B67" s="23">
        <f>'Budget vs. Actuals'!B82</f>
        <v>0</v>
      </c>
      <c r="C67" s="23">
        <f>'Budget vs. Actuals'!D82</f>
        <v>0</v>
      </c>
      <c r="D67" s="23">
        <f>'Budget vs. Actuals'!F82</f>
        <v>0</v>
      </c>
      <c r="E67" s="23">
        <f>'Budget vs. Actuals'!H82</f>
        <v>0</v>
      </c>
      <c r="F67" s="23">
        <f>'Budget vs. Actuals'!J82</f>
        <v>0</v>
      </c>
      <c r="G67" s="23">
        <f>'Budget vs. Actuals'!L82</f>
        <v>0</v>
      </c>
      <c r="H67" s="23">
        <f>'Budget vs. Actuals'!N82</f>
        <v>0</v>
      </c>
      <c r="I67" s="23">
        <f>'Budget vs. Actuals'!P82</f>
        <v>0</v>
      </c>
      <c r="J67" s="23">
        <f>'Budget vs. Actuals'!R82</f>
        <v>0</v>
      </c>
      <c r="K67" s="23">
        <f>'Budget vs. Actuals'!T82</f>
        <v>0</v>
      </c>
      <c r="L67" s="23">
        <f>'Budget vs. Actuals'!V82</f>
        <v>0</v>
      </c>
      <c r="M67" s="23">
        <f>'Budget vs. Actuals'!X82</f>
        <v>0</v>
      </c>
    </row>
    <row r="68" spans="1:13" ht="25">
      <c r="A68" s="1" t="s">
        <v>150</v>
      </c>
      <c r="B68" s="23">
        <f>'Budget vs. Actuals'!B83</f>
        <v>833.34</v>
      </c>
      <c r="C68" s="23">
        <f>'Budget vs. Actuals'!D83</f>
        <v>833.32</v>
      </c>
      <c r="D68" s="23">
        <f>'Budget vs. Actuals'!F83</f>
        <v>1249.98</v>
      </c>
      <c r="E68" s="23">
        <f>'Budget vs. Actuals'!H83</f>
        <v>416.66</v>
      </c>
      <c r="F68" s="23">
        <f>'Budget vs. Actuals'!J83</f>
        <v>833.32</v>
      </c>
      <c r="G68" s="23">
        <f>'Budget vs. Actuals'!L83</f>
        <v>1249.98</v>
      </c>
      <c r="H68" s="23">
        <f>'Budget vs. Actuals'!N83</f>
        <v>416.66</v>
      </c>
      <c r="I68" s="23">
        <f>'Budget vs. Actuals'!P83</f>
        <v>0</v>
      </c>
      <c r="J68" s="23">
        <f>'Budget vs. Actuals'!R83</f>
        <v>0</v>
      </c>
      <c r="K68" s="23">
        <f>'Budget vs. Actuals'!T83</f>
        <v>0</v>
      </c>
      <c r="L68" s="23">
        <f>'Budget vs. Actuals'!V83</f>
        <v>0</v>
      </c>
      <c r="M68" s="23">
        <f>'Budget vs. Actuals'!X83</f>
        <v>0</v>
      </c>
    </row>
    <row r="69" spans="1:13" ht="25">
      <c r="A69" s="1" t="s">
        <v>151</v>
      </c>
      <c r="B69" s="23">
        <f>'Budget vs. Actuals'!B84</f>
        <v>416.67</v>
      </c>
      <c r="C69" s="23">
        <f>'Budget vs. Actuals'!D84</f>
        <v>416.67</v>
      </c>
      <c r="D69" s="23">
        <f>'Budget vs. Actuals'!F84</f>
        <v>833.34</v>
      </c>
      <c r="E69" s="23">
        <f>'Budget vs. Actuals'!H84</f>
        <v>0</v>
      </c>
      <c r="F69" s="23">
        <f>'Budget vs. Actuals'!J84</f>
        <v>416.67</v>
      </c>
      <c r="G69" s="23">
        <f>'Budget vs. Actuals'!L84</f>
        <v>833.34</v>
      </c>
      <c r="H69" s="23">
        <f>'Budget vs. Actuals'!N84</f>
        <v>0</v>
      </c>
      <c r="I69" s="23">
        <f>'Budget vs. Actuals'!P84</f>
        <v>0</v>
      </c>
      <c r="J69" s="23">
        <f>'Budget vs. Actuals'!R84</f>
        <v>0</v>
      </c>
      <c r="K69" s="23">
        <f>'Budget vs. Actuals'!T84</f>
        <v>0</v>
      </c>
      <c r="L69" s="23">
        <f>'Budget vs. Actuals'!V84</f>
        <v>0</v>
      </c>
      <c r="M69" s="23">
        <f>'Budget vs. Actuals'!X84</f>
        <v>0</v>
      </c>
    </row>
    <row r="70" spans="1:13" ht="25">
      <c r="A70" s="1" t="s">
        <v>152</v>
      </c>
      <c r="B70" s="23">
        <f>'Budget vs. Actuals'!B85</f>
        <v>2558.33</v>
      </c>
      <c r="C70" s="23">
        <f>'Budget vs. Actuals'!D85</f>
        <v>2647.74</v>
      </c>
      <c r="D70" s="23">
        <f>'Budget vs. Actuals'!F85</f>
        <v>5116.66</v>
      </c>
      <c r="E70" s="23">
        <f>'Budget vs. Actuals'!H85</f>
        <v>0</v>
      </c>
      <c r="F70" s="23">
        <f>'Budget vs. Actuals'!J85</f>
        <v>2558.33</v>
      </c>
      <c r="G70" s="23">
        <f>'Budget vs. Actuals'!L85</f>
        <v>5116.66</v>
      </c>
      <c r="H70" s="23">
        <f>'Budget vs. Actuals'!N85</f>
        <v>2558.33</v>
      </c>
      <c r="I70" s="23">
        <f>'Budget vs. Actuals'!P85</f>
        <v>0</v>
      </c>
      <c r="J70" s="23">
        <f>'Budget vs. Actuals'!R85</f>
        <v>0</v>
      </c>
      <c r="K70" s="23">
        <f>'Budget vs. Actuals'!T85</f>
        <v>0</v>
      </c>
      <c r="L70" s="23">
        <f>'Budget vs. Actuals'!V85</f>
        <v>0</v>
      </c>
      <c r="M70" s="23">
        <f>'Budget vs. Actuals'!X85</f>
        <v>0</v>
      </c>
    </row>
    <row r="71" spans="1:13" ht="25">
      <c r="A71" s="1" t="s">
        <v>153</v>
      </c>
      <c r="B71" s="23">
        <f>'Budget vs. Actuals'!B86</f>
        <v>0</v>
      </c>
      <c r="C71" s="23">
        <f>'Budget vs. Actuals'!D86</f>
        <v>0</v>
      </c>
      <c r="D71" s="23">
        <f>'Budget vs. Actuals'!F86</f>
        <v>700</v>
      </c>
      <c r="E71" s="23">
        <f>'Budget vs. Actuals'!H86</f>
        <v>0</v>
      </c>
      <c r="F71" s="23">
        <f>'Budget vs. Actuals'!J86</f>
        <v>0</v>
      </c>
      <c r="G71" s="23">
        <f>'Budget vs. Actuals'!L86</f>
        <v>0</v>
      </c>
      <c r="H71" s="23">
        <f>'Budget vs. Actuals'!N86</f>
        <v>0</v>
      </c>
      <c r="I71" s="23">
        <f>'Budget vs. Actuals'!P86</f>
        <v>0</v>
      </c>
      <c r="J71" s="23">
        <f>'Budget vs. Actuals'!R86</f>
        <v>0</v>
      </c>
      <c r="K71" s="23">
        <f>'Budget vs. Actuals'!T86</f>
        <v>0</v>
      </c>
      <c r="L71" s="23">
        <f>'Budget vs. Actuals'!V86</f>
        <v>0</v>
      </c>
      <c r="M71" s="23">
        <f>'Budget vs. Actuals'!X86</f>
        <v>0</v>
      </c>
    </row>
    <row r="72" spans="1:13">
      <c r="A72" s="1" t="s">
        <v>154</v>
      </c>
      <c r="B72" s="23">
        <f>'Budget vs. Actuals'!B87</f>
        <v>416.66</v>
      </c>
      <c r="C72" s="23">
        <f>'Budget vs. Actuals'!D87</f>
        <v>416.66</v>
      </c>
      <c r="D72" s="23">
        <f>'Budget vs. Actuals'!F87</f>
        <v>833.32</v>
      </c>
      <c r="E72" s="23">
        <f>'Budget vs. Actuals'!H87</f>
        <v>0</v>
      </c>
      <c r="F72" s="23">
        <f>'Budget vs. Actuals'!J87</f>
        <v>416.66</v>
      </c>
      <c r="G72" s="23">
        <f>'Budget vs. Actuals'!L87</f>
        <v>833.32</v>
      </c>
      <c r="H72" s="23">
        <f>'Budget vs. Actuals'!N87</f>
        <v>0</v>
      </c>
      <c r="I72" s="23">
        <f>'Budget vs. Actuals'!P87</f>
        <v>0</v>
      </c>
      <c r="J72" s="23">
        <f>'Budget vs. Actuals'!R87</f>
        <v>0</v>
      </c>
      <c r="K72" s="23">
        <f>'Budget vs. Actuals'!T87</f>
        <v>0</v>
      </c>
      <c r="L72" s="23">
        <f>'Budget vs. Actuals'!V87</f>
        <v>0</v>
      </c>
      <c r="M72" s="23">
        <f>'Budget vs. Actuals'!X87</f>
        <v>0</v>
      </c>
    </row>
    <row r="73" spans="1:13" ht="25">
      <c r="A73" s="1" t="s">
        <v>37</v>
      </c>
      <c r="B73" s="23">
        <f>'Budget vs. Actuals'!B88</f>
        <v>416.68</v>
      </c>
      <c r="C73" s="23">
        <f>'Budget vs. Actuals'!D88</f>
        <v>416.67</v>
      </c>
      <c r="D73" s="23">
        <f>'Budget vs. Actuals'!F88</f>
        <v>624.99</v>
      </c>
      <c r="E73" s="23">
        <f>'Budget vs. Actuals'!H88</f>
        <v>208.33</v>
      </c>
      <c r="F73" s="23">
        <f>'Budget vs. Actuals'!J88</f>
        <v>416.66</v>
      </c>
      <c r="G73" s="23">
        <f>'Budget vs. Actuals'!L88</f>
        <v>624.99</v>
      </c>
      <c r="H73" s="23">
        <f>'Budget vs. Actuals'!N88</f>
        <v>208.33</v>
      </c>
      <c r="I73" s="23">
        <f>'Budget vs. Actuals'!P88</f>
        <v>0</v>
      </c>
      <c r="J73" s="23">
        <f>'Budget vs. Actuals'!R88</f>
        <v>0</v>
      </c>
      <c r="K73" s="23">
        <f>'Budget vs. Actuals'!T88</f>
        <v>0</v>
      </c>
      <c r="L73" s="23">
        <f>'Budget vs. Actuals'!V88</f>
        <v>0</v>
      </c>
      <c r="M73" s="23">
        <f>'Budget vs. Actuals'!X88</f>
        <v>0</v>
      </c>
    </row>
    <row r="74" spans="1:13">
      <c r="A74" s="1" t="s">
        <v>38</v>
      </c>
      <c r="B74" s="23">
        <f>'Budget vs. Actuals'!B89</f>
        <v>583.33000000000004</v>
      </c>
      <c r="C74" s="23">
        <f>'Budget vs. Actuals'!D89</f>
        <v>583.33000000000004</v>
      </c>
      <c r="D74" s="23">
        <f>'Budget vs. Actuals'!F89</f>
        <v>1312.5</v>
      </c>
      <c r="E74" s="23">
        <f>'Budget vs. Actuals'!H89</f>
        <v>0</v>
      </c>
      <c r="F74" s="23">
        <f>'Budget vs. Actuals'!J89</f>
        <v>583.33000000000004</v>
      </c>
      <c r="G74" s="23">
        <f>'Budget vs. Actuals'!L89</f>
        <v>1458.34</v>
      </c>
      <c r="H74" s="23">
        <f>'Budget vs. Actuals'!N89</f>
        <v>0</v>
      </c>
      <c r="I74" s="23">
        <f>'Budget vs. Actuals'!P89</f>
        <v>0</v>
      </c>
      <c r="J74" s="23">
        <f>'Budget vs. Actuals'!R89</f>
        <v>0</v>
      </c>
      <c r="K74" s="23">
        <f>'Budget vs. Actuals'!T89</f>
        <v>0</v>
      </c>
      <c r="L74" s="23">
        <f>'Budget vs. Actuals'!V89</f>
        <v>0</v>
      </c>
      <c r="M74" s="23">
        <f>'Budget vs. Actuals'!X89</f>
        <v>0</v>
      </c>
    </row>
    <row r="75" spans="1:13" ht="25">
      <c r="A75" s="1" t="s">
        <v>39</v>
      </c>
      <c r="B75" s="23">
        <f>'Budget vs. Actuals'!B90</f>
        <v>1304</v>
      </c>
      <c r="C75" s="23">
        <f>'Budget vs. Actuals'!D90</f>
        <v>693.58</v>
      </c>
      <c r="D75" s="23">
        <f>'Budget vs. Actuals'!F90</f>
        <v>693.58</v>
      </c>
      <c r="E75" s="23">
        <f>'Budget vs. Actuals'!H90</f>
        <v>150</v>
      </c>
      <c r="F75" s="23">
        <f>'Budget vs. Actuals'!J90</f>
        <v>1387.16</v>
      </c>
      <c r="G75" s="23">
        <f>'Budget vs. Actuals'!L90</f>
        <v>0</v>
      </c>
      <c r="H75" s="23">
        <f>'Budget vs. Actuals'!N90</f>
        <v>727.48</v>
      </c>
      <c r="I75" s="23">
        <f>'Budget vs. Actuals'!P90</f>
        <v>0</v>
      </c>
      <c r="J75" s="23">
        <f>'Budget vs. Actuals'!R90</f>
        <v>0</v>
      </c>
      <c r="K75" s="23">
        <f>'Budget vs. Actuals'!T90</f>
        <v>0</v>
      </c>
      <c r="L75" s="23">
        <f>'Budget vs. Actuals'!V90</f>
        <v>0</v>
      </c>
      <c r="M75" s="23">
        <f>'Budget vs. Actuals'!X90</f>
        <v>0</v>
      </c>
    </row>
    <row r="76" spans="1:13">
      <c r="A76" s="1" t="s">
        <v>40</v>
      </c>
      <c r="B76" s="23">
        <f>'Budget vs. Actuals'!B91</f>
        <v>0</v>
      </c>
      <c r="C76" s="23">
        <f>'Budget vs. Actuals'!D91</f>
        <v>0</v>
      </c>
      <c r="D76" s="23">
        <f>'Budget vs. Actuals'!F91</f>
        <v>0</v>
      </c>
      <c r="E76" s="23">
        <f>'Budget vs. Actuals'!H91</f>
        <v>0</v>
      </c>
      <c r="F76" s="23">
        <f>'Budget vs. Actuals'!J91</f>
        <v>0</v>
      </c>
      <c r="G76" s="23">
        <f>'Budget vs. Actuals'!L91</f>
        <v>0</v>
      </c>
      <c r="H76" s="23">
        <f>'Budget vs. Actuals'!N91</f>
        <v>0</v>
      </c>
      <c r="I76" s="23">
        <f>'Budget vs. Actuals'!P91</f>
        <v>0</v>
      </c>
      <c r="J76" s="23">
        <f>'Budget vs. Actuals'!R91</f>
        <v>0</v>
      </c>
      <c r="K76" s="23">
        <f>'Budget vs. Actuals'!T91</f>
        <v>0</v>
      </c>
      <c r="L76" s="23">
        <f>'Budget vs. Actuals'!V91</f>
        <v>0</v>
      </c>
      <c r="M76" s="23">
        <f>'Budget vs. Actuals'!X91</f>
        <v>0</v>
      </c>
    </row>
    <row r="77" spans="1:13" ht="25">
      <c r="A77" s="1" t="s">
        <v>41</v>
      </c>
      <c r="B77" s="23">
        <f>'Budget vs. Actuals'!B94</f>
        <v>6529.01</v>
      </c>
      <c r="C77" s="23">
        <f>'Budget vs. Actuals'!D94</f>
        <v>6007.9699999999993</v>
      </c>
      <c r="D77" s="23">
        <f>'Budget vs. Actuals'!F94</f>
        <v>11364.369999999999</v>
      </c>
      <c r="E77" s="23">
        <f>'Budget vs. Actuals'!H94</f>
        <v>774.99</v>
      </c>
      <c r="F77" s="23">
        <f>'Budget vs. Actuals'!J94</f>
        <v>7182.9</v>
      </c>
      <c r="G77" s="23">
        <f>'Budget vs. Actuals'!L94</f>
        <v>10116.629999999999</v>
      </c>
      <c r="H77" s="23">
        <f>'Budget vs. Actuals'!N94</f>
        <v>3910.7999999999997</v>
      </c>
      <c r="I77" s="23">
        <f>'Budget vs. Actuals'!P94</f>
        <v>0</v>
      </c>
      <c r="J77" s="23">
        <f>'Budget vs. Actuals'!R94</f>
        <v>0</v>
      </c>
      <c r="K77" s="23">
        <f>'Budget vs. Actuals'!T94</f>
        <v>0</v>
      </c>
      <c r="L77" s="23">
        <f>'Budget vs. Actuals'!V94</f>
        <v>0</v>
      </c>
      <c r="M77" s="23">
        <f>'Budget vs. Actuals'!X94</f>
        <v>0</v>
      </c>
    </row>
    <row r="78" spans="1:13">
      <c r="A78" s="1" t="s">
        <v>42</v>
      </c>
      <c r="B78" s="23">
        <f>'Budget vs. Actuals'!B95</f>
        <v>0</v>
      </c>
      <c r="C78" s="23">
        <f>'Budget vs. Actuals'!D95</f>
        <v>0</v>
      </c>
      <c r="D78" s="23">
        <f>'Budget vs. Actuals'!F95</f>
        <v>0</v>
      </c>
      <c r="E78" s="23">
        <f>'Budget vs. Actuals'!H95</f>
        <v>0</v>
      </c>
      <c r="F78" s="23">
        <f>'Budget vs. Actuals'!J95</f>
        <v>0</v>
      </c>
      <c r="G78" s="23">
        <f>'Budget vs. Actuals'!L95</f>
        <v>0</v>
      </c>
      <c r="H78" s="23">
        <f>'Budget vs. Actuals'!N95</f>
        <v>0</v>
      </c>
      <c r="I78" s="23">
        <f>'Budget vs. Actuals'!P95</f>
        <v>0</v>
      </c>
      <c r="J78" s="23">
        <f>'Budget vs. Actuals'!R95</f>
        <v>0</v>
      </c>
      <c r="K78" s="23">
        <f>'Budget vs. Actuals'!T95</f>
        <v>0</v>
      </c>
      <c r="L78" s="23">
        <f>'Budget vs. Actuals'!V95</f>
        <v>0</v>
      </c>
      <c r="M78" s="23">
        <f>'Budget vs. Actuals'!X95</f>
        <v>0</v>
      </c>
    </row>
    <row r="79" spans="1:13" ht="25">
      <c r="A79" s="1" t="s">
        <v>43</v>
      </c>
      <c r="B79" s="23">
        <f>'Budget vs. Actuals'!B96</f>
        <v>0</v>
      </c>
      <c r="C79" s="23">
        <f>'Budget vs. Actuals'!D96</f>
        <v>0</v>
      </c>
      <c r="D79" s="23">
        <f>'Budget vs. Actuals'!F96</f>
        <v>0</v>
      </c>
      <c r="E79" s="23">
        <f>'Budget vs. Actuals'!H96</f>
        <v>0</v>
      </c>
      <c r="F79" s="23">
        <f>'Budget vs. Actuals'!J96</f>
        <v>0</v>
      </c>
      <c r="G79" s="23">
        <f>'Budget vs. Actuals'!L96</f>
        <v>0</v>
      </c>
      <c r="H79" s="23">
        <f>'Budget vs. Actuals'!N96</f>
        <v>0</v>
      </c>
      <c r="I79" s="23">
        <f>'Budget vs. Actuals'!P96</f>
        <v>0</v>
      </c>
      <c r="J79" s="23">
        <f>'Budget vs. Actuals'!R96</f>
        <v>0</v>
      </c>
      <c r="K79" s="23">
        <f>'Budget vs. Actuals'!T96</f>
        <v>0</v>
      </c>
      <c r="L79" s="23">
        <f>'Budget vs. Actuals'!V96</f>
        <v>0</v>
      </c>
      <c r="M79" s="23">
        <f>'Budget vs. Actuals'!X96</f>
        <v>0</v>
      </c>
    </row>
    <row r="80" spans="1:13">
      <c r="A80" s="1" t="s">
        <v>44</v>
      </c>
      <c r="B80" s="23">
        <f>'Budget vs. Actuals'!B97</f>
        <v>0</v>
      </c>
      <c r="C80" s="23">
        <f>'Budget vs. Actuals'!D97</f>
        <v>0</v>
      </c>
      <c r="D80" s="23">
        <f>'Budget vs. Actuals'!F97</f>
        <v>0</v>
      </c>
      <c r="E80" s="23">
        <f>'Budget vs. Actuals'!H97</f>
        <v>6493</v>
      </c>
      <c r="F80" s="23">
        <f>'Budget vs. Actuals'!J97</f>
        <v>0</v>
      </c>
      <c r="G80" s="23">
        <f>'Budget vs. Actuals'!L97</f>
        <v>0</v>
      </c>
      <c r="H80" s="23">
        <f>'Budget vs. Actuals'!N97</f>
        <v>676.29</v>
      </c>
      <c r="I80" s="23">
        <f>'Budget vs. Actuals'!P97</f>
        <v>0</v>
      </c>
      <c r="J80" s="23">
        <f>'Budget vs. Actuals'!R97</f>
        <v>0</v>
      </c>
      <c r="K80" s="23">
        <f>'Budget vs. Actuals'!T97</f>
        <v>0</v>
      </c>
      <c r="L80" s="23">
        <f>'Budget vs. Actuals'!V97</f>
        <v>0</v>
      </c>
      <c r="M80" s="23">
        <f>'Budget vs. Actuals'!X97</f>
        <v>0</v>
      </c>
    </row>
    <row r="81" spans="1:13">
      <c r="A81" s="1" t="s">
        <v>45</v>
      </c>
      <c r="B81" s="23">
        <f>'Budget vs. Actuals'!B98</f>
        <v>0</v>
      </c>
      <c r="C81" s="23">
        <f>'Budget vs. Actuals'!D98</f>
        <v>26.4</v>
      </c>
      <c r="D81" s="23">
        <f>'Budget vs. Actuals'!F98</f>
        <v>736.76</v>
      </c>
      <c r="E81" s="23">
        <f>'Budget vs. Actuals'!H98</f>
        <v>0</v>
      </c>
      <c r="F81" s="23">
        <f>'Budget vs. Actuals'!J98</f>
        <v>0</v>
      </c>
      <c r="G81" s="23">
        <f>'Budget vs. Actuals'!L98</f>
        <v>0</v>
      </c>
      <c r="H81" s="23">
        <f>'Budget vs. Actuals'!N98</f>
        <v>0</v>
      </c>
      <c r="I81" s="23">
        <f>'Budget vs. Actuals'!P98</f>
        <v>0</v>
      </c>
      <c r="J81" s="23">
        <f>'Budget vs. Actuals'!R98</f>
        <v>0</v>
      </c>
      <c r="K81" s="23">
        <f>'Budget vs. Actuals'!T98</f>
        <v>0</v>
      </c>
      <c r="L81" s="23">
        <f>'Budget vs. Actuals'!V98</f>
        <v>0</v>
      </c>
      <c r="M81" s="23">
        <f>'Budget vs. Actuals'!X98</f>
        <v>0</v>
      </c>
    </row>
    <row r="82" spans="1:13">
      <c r="A82" s="1" t="s">
        <v>46</v>
      </c>
      <c r="B82" s="23">
        <f>'Budget vs. Actuals'!B99</f>
        <v>2990.6</v>
      </c>
      <c r="C82" s="23">
        <f>'Budget vs. Actuals'!D99</f>
        <v>4170.0600000000004</v>
      </c>
      <c r="D82" s="23">
        <f>'Budget vs. Actuals'!F99</f>
        <v>1185</v>
      </c>
      <c r="E82" s="23">
        <f>'Budget vs. Actuals'!H99</f>
        <v>2137</v>
      </c>
      <c r="F82" s="23">
        <f>'Budget vs. Actuals'!J99</f>
        <v>722.08</v>
      </c>
      <c r="G82" s="23">
        <f>'Budget vs. Actuals'!L99</f>
        <v>1260</v>
      </c>
      <c r="H82" s="23">
        <f>'Budget vs. Actuals'!N99</f>
        <v>1180</v>
      </c>
      <c r="I82" s="23">
        <f>'Budget vs. Actuals'!P99</f>
        <v>0</v>
      </c>
      <c r="J82" s="23">
        <f>'Budget vs. Actuals'!R99</f>
        <v>0</v>
      </c>
      <c r="K82" s="23">
        <f>'Budget vs. Actuals'!T99</f>
        <v>0</v>
      </c>
      <c r="L82" s="23">
        <f>'Budget vs. Actuals'!V99</f>
        <v>0</v>
      </c>
      <c r="M82" s="23">
        <f>'Budget vs. Actuals'!X99</f>
        <v>0</v>
      </c>
    </row>
    <row r="83" spans="1:13" ht="25">
      <c r="A83" s="1" t="s">
        <v>47</v>
      </c>
      <c r="B83" s="23">
        <f>'Budget vs. Actuals'!B101</f>
        <v>0</v>
      </c>
      <c r="C83" s="23">
        <f>'Budget vs. Actuals'!D101</f>
        <v>300</v>
      </c>
      <c r="D83" s="23">
        <f>'Budget vs. Actuals'!F101</f>
        <v>0</v>
      </c>
      <c r="E83" s="23">
        <f>'Budget vs. Actuals'!H101</f>
        <v>300</v>
      </c>
      <c r="F83" s="23">
        <f>'Budget vs. Actuals'!J101</f>
        <v>0</v>
      </c>
      <c r="G83" s="23">
        <f>'Budget vs. Actuals'!L101</f>
        <v>0</v>
      </c>
      <c r="H83" s="23">
        <f>'Budget vs. Actuals'!N101</f>
        <v>300</v>
      </c>
      <c r="I83" s="23">
        <f>'Budget vs. Actuals'!P101</f>
        <v>0</v>
      </c>
      <c r="J83" s="23">
        <f>'Budget vs. Actuals'!R101</f>
        <v>0</v>
      </c>
      <c r="K83" s="23">
        <f>'Budget vs. Actuals'!T101</f>
        <v>0</v>
      </c>
      <c r="L83" s="23">
        <f>'Budget vs. Actuals'!V101</f>
        <v>0</v>
      </c>
      <c r="M83" s="23">
        <f>'Budget vs. Actuals'!X101</f>
        <v>0</v>
      </c>
    </row>
    <row r="84" spans="1:13" ht="25">
      <c r="A84" s="1" t="s">
        <v>48</v>
      </c>
      <c r="B84" s="23">
        <f>'Budget vs. Actuals'!B103</f>
        <v>0</v>
      </c>
      <c r="C84" s="23">
        <f>'Budget vs. Actuals'!D103</f>
        <v>0</v>
      </c>
      <c r="D84" s="23">
        <f>'Budget vs. Actuals'!F103</f>
        <v>0</v>
      </c>
      <c r="E84" s="23">
        <f>'Budget vs. Actuals'!H103</f>
        <v>0</v>
      </c>
      <c r="F84" s="23">
        <f>'Budget vs. Actuals'!J103</f>
        <v>0</v>
      </c>
      <c r="G84" s="23">
        <f>'Budget vs. Actuals'!L103</f>
        <v>0</v>
      </c>
      <c r="H84" s="23">
        <f>'Budget vs. Actuals'!N103</f>
        <v>0</v>
      </c>
      <c r="I84" s="23">
        <f>'Budget vs. Actuals'!P103</f>
        <v>0</v>
      </c>
      <c r="J84" s="23">
        <f>'Budget vs. Actuals'!R103</f>
        <v>0</v>
      </c>
      <c r="K84" s="23">
        <f>'Budget vs. Actuals'!T103</f>
        <v>0</v>
      </c>
      <c r="L84" s="23">
        <f>'Budget vs. Actuals'!V103</f>
        <v>0</v>
      </c>
      <c r="M84" s="23">
        <f>'Budget vs. Actuals'!X103</f>
        <v>0</v>
      </c>
    </row>
    <row r="85" spans="1:13">
      <c r="A85" s="1" t="s">
        <v>49</v>
      </c>
      <c r="B85" s="23">
        <f>'Budget vs. Actuals'!B104</f>
        <v>0</v>
      </c>
      <c r="C85" s="23">
        <f>'Budget vs. Actuals'!D104</f>
        <v>0</v>
      </c>
      <c r="D85" s="23">
        <f>'Budget vs. Actuals'!F104</f>
        <v>0</v>
      </c>
      <c r="E85" s="23">
        <f>'Budget vs. Actuals'!H104</f>
        <v>0</v>
      </c>
      <c r="F85" s="23">
        <f>'Budget vs. Actuals'!J104</f>
        <v>0</v>
      </c>
      <c r="G85" s="23">
        <f>'Budget vs. Actuals'!L104</f>
        <v>0</v>
      </c>
      <c r="H85" s="23">
        <f>'Budget vs. Actuals'!N104</f>
        <v>0</v>
      </c>
      <c r="I85" s="23">
        <f>'Budget vs. Actuals'!P104</f>
        <v>0</v>
      </c>
      <c r="J85" s="23">
        <f>'Budget vs. Actuals'!R104</f>
        <v>0</v>
      </c>
      <c r="K85" s="23">
        <f>'Budget vs. Actuals'!T104</f>
        <v>0</v>
      </c>
      <c r="L85" s="23">
        <f>'Budget vs. Actuals'!V104</f>
        <v>0</v>
      </c>
      <c r="M85" s="23">
        <f>'Budget vs. Actuals'!X104</f>
        <v>0</v>
      </c>
    </row>
    <row r="86" spans="1:13" ht="25">
      <c r="A86" s="1" t="s">
        <v>50</v>
      </c>
      <c r="B86" s="23">
        <f>'Budget vs. Actuals'!B105</f>
        <v>20</v>
      </c>
      <c r="C86" s="23">
        <f>'Budget vs. Actuals'!D105</f>
        <v>0</v>
      </c>
      <c r="D86" s="23">
        <f>'Budget vs. Actuals'!F105</f>
        <v>0</v>
      </c>
      <c r="E86" s="23">
        <f>'Budget vs. Actuals'!H105</f>
        <v>0</v>
      </c>
      <c r="F86" s="23">
        <f>'Budget vs. Actuals'!J105</f>
        <v>125</v>
      </c>
      <c r="G86" s="23">
        <f>'Budget vs. Actuals'!L105</f>
        <v>0</v>
      </c>
      <c r="H86" s="23">
        <f>'Budget vs. Actuals'!N105</f>
        <v>0</v>
      </c>
      <c r="I86" s="23">
        <f>'Budget vs. Actuals'!P105</f>
        <v>0</v>
      </c>
      <c r="J86" s="23">
        <f>'Budget vs. Actuals'!R105</f>
        <v>0</v>
      </c>
      <c r="K86" s="23">
        <f>'Budget vs. Actuals'!T105</f>
        <v>0</v>
      </c>
      <c r="L86" s="23">
        <f>'Budget vs. Actuals'!V105</f>
        <v>0</v>
      </c>
      <c r="M86" s="23">
        <f>'Budget vs. Actuals'!X105</f>
        <v>0</v>
      </c>
    </row>
    <row r="87" spans="1:13" ht="25">
      <c r="A87" s="1" t="s">
        <v>51</v>
      </c>
      <c r="B87" s="23">
        <f>'Budget vs. Actuals'!B106</f>
        <v>0</v>
      </c>
      <c r="C87" s="23">
        <f>'Budget vs. Actuals'!D106</f>
        <v>0</v>
      </c>
      <c r="D87" s="23">
        <f>'Budget vs. Actuals'!F106</f>
        <v>0</v>
      </c>
      <c r="E87" s="23">
        <f>'Budget vs. Actuals'!H106</f>
        <v>0</v>
      </c>
      <c r="F87" s="23">
        <f>'Budget vs. Actuals'!J106</f>
        <v>10000</v>
      </c>
      <c r="G87" s="23">
        <f>'Budget vs. Actuals'!L106</f>
        <v>0</v>
      </c>
      <c r="H87" s="23">
        <f>'Budget vs. Actuals'!N106</f>
        <v>0</v>
      </c>
      <c r="I87" s="23">
        <f>'Budget vs. Actuals'!P106</f>
        <v>0</v>
      </c>
      <c r="J87" s="23">
        <f>'Budget vs. Actuals'!R106</f>
        <v>0</v>
      </c>
      <c r="K87" s="23">
        <f>'Budget vs. Actuals'!T106</f>
        <v>0</v>
      </c>
      <c r="L87" s="23">
        <f>'Budget vs. Actuals'!V106</f>
        <v>0</v>
      </c>
      <c r="M87" s="23">
        <f>'Budget vs. Actuals'!X106</f>
        <v>0</v>
      </c>
    </row>
    <row r="88" spans="1:13" ht="25">
      <c r="A88" s="1" t="s">
        <v>52</v>
      </c>
      <c r="B88" s="23">
        <f>'Budget vs. Actuals'!B107</f>
        <v>1040.4000000000001</v>
      </c>
      <c r="C88" s="23">
        <f>'Budget vs. Actuals'!D107</f>
        <v>0</v>
      </c>
      <c r="D88" s="23">
        <f>'Budget vs. Actuals'!F107</f>
        <v>0</v>
      </c>
      <c r="E88" s="23">
        <f>'Budget vs. Actuals'!H107</f>
        <v>0</v>
      </c>
      <c r="F88" s="23">
        <f>'Budget vs. Actuals'!J107</f>
        <v>0</v>
      </c>
      <c r="G88" s="23">
        <f>'Budget vs. Actuals'!L107</f>
        <v>0</v>
      </c>
      <c r="H88" s="23">
        <f>'Budget vs. Actuals'!N107</f>
        <v>0</v>
      </c>
      <c r="I88" s="23">
        <f>'Budget vs. Actuals'!P107</f>
        <v>0</v>
      </c>
      <c r="J88" s="23">
        <f>'Budget vs. Actuals'!R107</f>
        <v>0</v>
      </c>
      <c r="K88" s="23">
        <f>'Budget vs. Actuals'!T107</f>
        <v>0</v>
      </c>
      <c r="L88" s="23">
        <f>'Budget vs. Actuals'!V107</f>
        <v>0</v>
      </c>
      <c r="M88" s="23">
        <f>'Budget vs. Actuals'!X107</f>
        <v>0</v>
      </c>
    </row>
    <row r="89" spans="1:13">
      <c r="A89" s="1" t="s">
        <v>53</v>
      </c>
      <c r="B89" s="23">
        <f>'Budget vs. Actuals'!B111</f>
        <v>4051</v>
      </c>
      <c r="C89" s="23">
        <f>'Budget vs. Actuals'!D111</f>
        <v>4496.46</v>
      </c>
      <c r="D89" s="23">
        <f>'Budget vs. Actuals'!F111</f>
        <v>1921.76</v>
      </c>
      <c r="E89" s="23">
        <f>'Budget vs. Actuals'!H111</f>
        <v>8930</v>
      </c>
      <c r="F89" s="23">
        <f>'Budget vs. Actuals'!J111</f>
        <v>10847.08</v>
      </c>
      <c r="G89" s="23">
        <f>'Budget vs. Actuals'!L111</f>
        <v>1260</v>
      </c>
      <c r="H89" s="23">
        <f>'Budget vs. Actuals'!N111</f>
        <v>2156.29</v>
      </c>
      <c r="I89" s="23">
        <f>'Budget vs. Actuals'!P111</f>
        <v>0</v>
      </c>
      <c r="J89" s="23">
        <f>'Budget vs. Actuals'!R111</f>
        <v>0</v>
      </c>
      <c r="K89" s="23">
        <f>'Budget vs. Actuals'!T111</f>
        <v>0</v>
      </c>
      <c r="L89" s="23">
        <f>'Budget vs. Actuals'!V111</f>
        <v>0</v>
      </c>
      <c r="M89" s="23">
        <f>'Budget vs. Actuals'!X111</f>
        <v>0</v>
      </c>
    </row>
    <row r="90" spans="1:13">
      <c r="A90" s="1" t="s">
        <v>54</v>
      </c>
      <c r="B90" s="23">
        <f>'Budget vs. Actuals'!B112</f>
        <v>0</v>
      </c>
      <c r="C90" s="23">
        <f>'Budget vs. Actuals'!D112</f>
        <v>0</v>
      </c>
      <c r="D90" s="23">
        <f>'Budget vs. Actuals'!F112</f>
        <v>0</v>
      </c>
      <c r="E90" s="23">
        <f>'Budget vs. Actuals'!H112</f>
        <v>0</v>
      </c>
      <c r="F90" s="23">
        <f>'Budget vs. Actuals'!J112</f>
        <v>0</v>
      </c>
      <c r="G90" s="23">
        <f>'Budget vs. Actuals'!L112</f>
        <v>0</v>
      </c>
      <c r="H90" s="23">
        <f>'Budget vs. Actuals'!N112</f>
        <v>0</v>
      </c>
      <c r="I90" s="23">
        <f>'Budget vs. Actuals'!P112</f>
        <v>0</v>
      </c>
      <c r="J90" s="23">
        <f>'Budget vs. Actuals'!R112</f>
        <v>0</v>
      </c>
      <c r="K90" s="23">
        <f>'Budget vs. Actuals'!T112</f>
        <v>0</v>
      </c>
      <c r="L90" s="23">
        <f>'Budget vs. Actuals'!V112</f>
        <v>0</v>
      </c>
      <c r="M90" s="23">
        <f>'Budget vs. Actuals'!X112</f>
        <v>0</v>
      </c>
    </row>
    <row r="91" spans="1:13">
      <c r="A91" s="1" t="s">
        <v>55</v>
      </c>
      <c r="B91" s="23">
        <f>'Budget vs. Actuals'!B113</f>
        <v>2708.64</v>
      </c>
      <c r="C91" s="23">
        <f>'Budget vs. Actuals'!D113</f>
        <v>0</v>
      </c>
      <c r="D91" s="23">
        <f>'Budget vs. Actuals'!F113</f>
        <v>16206.6</v>
      </c>
      <c r="E91" s="23">
        <f>'Budget vs. Actuals'!H113</f>
        <v>0</v>
      </c>
      <c r="F91" s="23">
        <f>'Budget vs. Actuals'!J113</f>
        <v>18678.78</v>
      </c>
      <c r="G91" s="23">
        <f>'Budget vs. Actuals'!L113</f>
        <v>0</v>
      </c>
      <c r="H91" s="23">
        <f>'Budget vs. Actuals'!N113</f>
        <v>15320.83</v>
      </c>
      <c r="I91" s="23">
        <f>'Budget vs. Actuals'!P113</f>
        <v>0</v>
      </c>
      <c r="J91" s="23">
        <f>'Budget vs. Actuals'!R113</f>
        <v>0</v>
      </c>
      <c r="K91" s="23">
        <f>'Budget vs. Actuals'!T113</f>
        <v>0</v>
      </c>
      <c r="L91" s="23">
        <f>'Budget vs. Actuals'!V113</f>
        <v>0</v>
      </c>
      <c r="M91" s="23">
        <f>'Budget vs. Actuals'!X113</f>
        <v>0</v>
      </c>
    </row>
    <row r="92" spans="1:13">
      <c r="A92" s="1" t="s">
        <v>56</v>
      </c>
      <c r="B92" s="23">
        <f>'Budget vs. Actuals'!B114</f>
        <v>0</v>
      </c>
      <c r="C92" s="23">
        <f>'Budget vs. Actuals'!D114</f>
        <v>3221</v>
      </c>
      <c r="D92" s="23">
        <f>'Budget vs. Actuals'!F114</f>
        <v>0</v>
      </c>
      <c r="E92" s="23">
        <f>'Budget vs. Actuals'!H114</f>
        <v>0</v>
      </c>
      <c r="F92" s="23">
        <f>'Budget vs. Actuals'!J114</f>
        <v>0</v>
      </c>
      <c r="G92" s="23">
        <f>'Budget vs. Actuals'!L114</f>
        <v>0</v>
      </c>
      <c r="H92" s="23">
        <f>'Budget vs. Actuals'!N114</f>
        <v>0</v>
      </c>
      <c r="I92" s="23">
        <f>'Budget vs. Actuals'!P114</f>
        <v>0</v>
      </c>
      <c r="J92" s="23">
        <f>'Budget vs. Actuals'!R114</f>
        <v>0</v>
      </c>
      <c r="K92" s="23">
        <f>'Budget vs. Actuals'!T114</f>
        <v>0</v>
      </c>
      <c r="L92" s="23">
        <f>'Budget vs. Actuals'!V114</f>
        <v>0</v>
      </c>
      <c r="M92" s="23">
        <f>'Budget vs. Actuals'!X114</f>
        <v>0</v>
      </c>
    </row>
    <row r="93" spans="1:13" ht="25">
      <c r="A93" s="1" t="s">
        <v>57</v>
      </c>
      <c r="B93" s="23">
        <f>'Budget vs. Actuals'!B115</f>
        <v>0</v>
      </c>
      <c r="C93" s="23">
        <f>'Budget vs. Actuals'!D115</f>
        <v>0</v>
      </c>
      <c r="D93" s="23">
        <f>'Budget vs. Actuals'!F115</f>
        <v>0</v>
      </c>
      <c r="E93" s="23">
        <f>'Budget vs. Actuals'!H115</f>
        <v>0</v>
      </c>
      <c r="F93" s="23">
        <f>'Budget vs. Actuals'!J115</f>
        <v>0</v>
      </c>
      <c r="G93" s="23">
        <f>'Budget vs. Actuals'!L115</f>
        <v>0</v>
      </c>
      <c r="H93" s="23">
        <f>'Budget vs. Actuals'!N115</f>
        <v>0</v>
      </c>
      <c r="I93" s="23">
        <f>'Budget vs. Actuals'!P115</f>
        <v>0</v>
      </c>
      <c r="J93" s="23">
        <f>'Budget vs. Actuals'!R115</f>
        <v>0</v>
      </c>
      <c r="K93" s="23">
        <f>'Budget vs. Actuals'!T115</f>
        <v>0</v>
      </c>
      <c r="L93" s="23">
        <f>'Budget vs. Actuals'!V115</f>
        <v>0</v>
      </c>
      <c r="M93" s="23">
        <f>'Budget vs. Actuals'!X115</f>
        <v>0</v>
      </c>
    </row>
    <row r="94" spans="1:13" ht="25">
      <c r="A94" s="1" t="s">
        <v>58</v>
      </c>
      <c r="B94" s="23">
        <f>'Budget vs. Actuals'!B117</f>
        <v>93948.73</v>
      </c>
      <c r="C94" s="23">
        <f>'Budget vs. Actuals'!D117</f>
        <v>0</v>
      </c>
      <c r="D94" s="23">
        <f>'Budget vs. Actuals'!F117</f>
        <v>0</v>
      </c>
      <c r="E94" s="23">
        <f>'Budget vs. Actuals'!H117</f>
        <v>0</v>
      </c>
      <c r="F94" s="23">
        <f>'Budget vs. Actuals'!J117</f>
        <v>0</v>
      </c>
      <c r="G94" s="23">
        <f>'Budget vs. Actuals'!L117</f>
        <v>0</v>
      </c>
      <c r="H94" s="23">
        <f>'Budget vs. Actuals'!N117</f>
        <v>0</v>
      </c>
      <c r="I94" s="23">
        <f>'Budget vs. Actuals'!P117</f>
        <v>0</v>
      </c>
      <c r="J94" s="23">
        <f>'Budget vs. Actuals'!R117</f>
        <v>0</v>
      </c>
      <c r="K94" s="23">
        <f>'Budget vs. Actuals'!T117</f>
        <v>0</v>
      </c>
      <c r="L94" s="23">
        <f>'Budget vs. Actuals'!V117</f>
        <v>0</v>
      </c>
      <c r="M94" s="23">
        <f>'Budget vs. Actuals'!X117</f>
        <v>0</v>
      </c>
    </row>
    <row r="95" spans="1:13" ht="25">
      <c r="A95" s="1" t="s">
        <v>59</v>
      </c>
      <c r="B95" s="23">
        <f>'Budget vs. Actuals'!B118</f>
        <v>0</v>
      </c>
      <c r="C95" s="23">
        <f>'Budget vs. Actuals'!D118</f>
        <v>0</v>
      </c>
      <c r="D95" s="23">
        <f>'Budget vs. Actuals'!F118</f>
        <v>0</v>
      </c>
      <c r="E95" s="23">
        <f>'Budget vs. Actuals'!H118</f>
        <v>0</v>
      </c>
      <c r="F95" s="23">
        <f>'Budget vs. Actuals'!J118</f>
        <v>0</v>
      </c>
      <c r="G95" s="23">
        <f>'Budget vs. Actuals'!L118</f>
        <v>0</v>
      </c>
      <c r="H95" s="23">
        <f>'Budget vs. Actuals'!N118</f>
        <v>0</v>
      </c>
      <c r="I95" s="23">
        <f>'Budget vs. Actuals'!P118</f>
        <v>0</v>
      </c>
      <c r="J95" s="23">
        <f>'Budget vs. Actuals'!R118</f>
        <v>0</v>
      </c>
      <c r="K95" s="23">
        <f>'Budget vs. Actuals'!T118</f>
        <v>0</v>
      </c>
      <c r="L95" s="23">
        <f>'Budget vs. Actuals'!V118</f>
        <v>0</v>
      </c>
      <c r="M95" s="23">
        <f>'Budget vs. Actuals'!X118</f>
        <v>0</v>
      </c>
    </row>
    <row r="96" spans="1:13" ht="25">
      <c r="A96" s="1" t="s">
        <v>60</v>
      </c>
      <c r="B96" s="23">
        <f>'Budget vs. Actuals'!B119</f>
        <v>0</v>
      </c>
      <c r="C96" s="23">
        <f>'Budget vs. Actuals'!D119</f>
        <v>0</v>
      </c>
      <c r="D96" s="23">
        <f>'Budget vs. Actuals'!F119</f>
        <v>0</v>
      </c>
      <c r="E96" s="23">
        <f>'Budget vs. Actuals'!H119</f>
        <v>0</v>
      </c>
      <c r="F96" s="23">
        <f>'Budget vs. Actuals'!J119</f>
        <v>0</v>
      </c>
      <c r="G96" s="23">
        <f>'Budget vs. Actuals'!L119</f>
        <v>0</v>
      </c>
      <c r="H96" s="23">
        <f>'Budget vs. Actuals'!N119</f>
        <v>0</v>
      </c>
      <c r="I96" s="23">
        <f>'Budget vs. Actuals'!P119</f>
        <v>0</v>
      </c>
      <c r="J96" s="23">
        <f>'Budget vs. Actuals'!R119</f>
        <v>0</v>
      </c>
      <c r="K96" s="23">
        <f>'Budget vs. Actuals'!T119</f>
        <v>0</v>
      </c>
      <c r="L96" s="23">
        <f>'Budget vs. Actuals'!V119</f>
        <v>0</v>
      </c>
      <c r="M96" s="23">
        <f>'Budget vs. Actuals'!X119</f>
        <v>0</v>
      </c>
    </row>
    <row r="97" spans="1:13">
      <c r="A97" s="1" t="s">
        <v>61</v>
      </c>
      <c r="B97" s="23">
        <f>'Budget vs. Actuals'!B122</f>
        <v>96657.37</v>
      </c>
      <c r="C97" s="23">
        <f>'Budget vs. Actuals'!D122</f>
        <v>3221</v>
      </c>
      <c r="D97" s="23">
        <f>'Budget vs. Actuals'!F122</f>
        <v>16206.6</v>
      </c>
      <c r="E97" s="23">
        <f>'Budget vs. Actuals'!H122</f>
        <v>0</v>
      </c>
      <c r="F97" s="23">
        <f>'Budget vs. Actuals'!J122</f>
        <v>18678.78</v>
      </c>
      <c r="G97" s="23">
        <f>'Budget vs. Actuals'!L122</f>
        <v>0</v>
      </c>
      <c r="H97" s="23">
        <f>'Budget vs. Actuals'!N122</f>
        <v>15320.83</v>
      </c>
      <c r="I97" s="23">
        <f>'Budget vs. Actuals'!P122</f>
        <v>0</v>
      </c>
      <c r="J97" s="23">
        <f>'Budget vs. Actuals'!R122</f>
        <v>0</v>
      </c>
      <c r="K97" s="23">
        <f>'Budget vs. Actuals'!T122</f>
        <v>0</v>
      </c>
      <c r="L97" s="23">
        <f>'Budget vs. Actuals'!V122</f>
        <v>0</v>
      </c>
      <c r="M97" s="23">
        <f>'Budget vs. Actuals'!X122</f>
        <v>0</v>
      </c>
    </row>
    <row r="98" spans="1:13">
      <c r="A98" s="1" t="s">
        <v>62</v>
      </c>
      <c r="B98" s="23">
        <f>'Budget vs. Actuals'!B123</f>
        <v>0</v>
      </c>
      <c r="C98" s="23">
        <f>'Budget vs. Actuals'!D123</f>
        <v>0</v>
      </c>
      <c r="D98" s="23">
        <f>'Budget vs. Actuals'!F123</f>
        <v>0</v>
      </c>
      <c r="E98" s="23">
        <f>'Budget vs. Actuals'!H123</f>
        <v>0</v>
      </c>
      <c r="F98" s="23">
        <f>'Budget vs. Actuals'!J123</f>
        <v>0</v>
      </c>
      <c r="G98" s="23">
        <f>'Budget vs. Actuals'!L123</f>
        <v>0</v>
      </c>
      <c r="H98" s="23">
        <f>'Budget vs. Actuals'!N123</f>
        <v>0</v>
      </c>
      <c r="I98" s="23">
        <f>'Budget vs. Actuals'!P123</f>
        <v>0</v>
      </c>
      <c r="J98" s="23">
        <f>'Budget vs. Actuals'!R123</f>
        <v>0</v>
      </c>
      <c r="K98" s="23">
        <f>'Budget vs. Actuals'!T123</f>
        <v>0</v>
      </c>
      <c r="L98" s="23">
        <f>'Budget vs. Actuals'!V123</f>
        <v>0</v>
      </c>
      <c r="M98" s="23">
        <f>'Budget vs. Actuals'!X123</f>
        <v>0</v>
      </c>
    </row>
    <row r="99" spans="1:13">
      <c r="A99" s="1" t="s">
        <v>63</v>
      </c>
      <c r="B99" s="23">
        <f>'Budget vs. Actuals'!B124</f>
        <v>0</v>
      </c>
      <c r="C99" s="23">
        <f>'Budget vs. Actuals'!D124</f>
        <v>0</v>
      </c>
      <c r="D99" s="23">
        <f>'Budget vs. Actuals'!F124</f>
        <v>0</v>
      </c>
      <c r="E99" s="23">
        <f>'Budget vs. Actuals'!H124</f>
        <v>0</v>
      </c>
      <c r="F99" s="23">
        <f>'Budget vs. Actuals'!J124</f>
        <v>0</v>
      </c>
      <c r="G99" s="23">
        <f>'Budget vs. Actuals'!L124</f>
        <v>0</v>
      </c>
      <c r="H99" s="23">
        <f>'Budget vs. Actuals'!N124</f>
        <v>0</v>
      </c>
      <c r="I99" s="23">
        <f>'Budget vs. Actuals'!P124</f>
        <v>0</v>
      </c>
      <c r="J99" s="23">
        <f>'Budget vs. Actuals'!R124</f>
        <v>0</v>
      </c>
      <c r="K99" s="23">
        <f>'Budget vs. Actuals'!T124</f>
        <v>0</v>
      </c>
      <c r="L99" s="23">
        <f>'Budget vs. Actuals'!V124</f>
        <v>0</v>
      </c>
      <c r="M99" s="23">
        <f>'Budget vs. Actuals'!X124</f>
        <v>0</v>
      </c>
    </row>
    <row r="100" spans="1:13">
      <c r="A100" s="1" t="s">
        <v>64</v>
      </c>
      <c r="B100" s="23">
        <f>'Budget vs. Actuals'!B125</f>
        <v>0</v>
      </c>
      <c r="C100" s="23">
        <f>'Budget vs. Actuals'!D125</f>
        <v>0</v>
      </c>
      <c r="D100" s="23">
        <f>'Budget vs. Actuals'!F125</f>
        <v>0</v>
      </c>
      <c r="E100" s="23">
        <f>'Budget vs. Actuals'!H125</f>
        <v>0</v>
      </c>
      <c r="F100" s="23">
        <f>'Budget vs. Actuals'!J125</f>
        <v>0</v>
      </c>
      <c r="G100" s="23">
        <f>'Budget vs. Actuals'!L125</f>
        <v>1000</v>
      </c>
      <c r="H100" s="23">
        <f>'Budget vs. Actuals'!N125</f>
        <v>0</v>
      </c>
      <c r="I100" s="23">
        <f>'Budget vs. Actuals'!P125</f>
        <v>0</v>
      </c>
      <c r="J100" s="23">
        <f>'Budget vs. Actuals'!R125</f>
        <v>0</v>
      </c>
      <c r="K100" s="23">
        <f>'Budget vs. Actuals'!T125</f>
        <v>0</v>
      </c>
      <c r="L100" s="23">
        <f>'Budget vs. Actuals'!V125</f>
        <v>0</v>
      </c>
      <c r="M100" s="23">
        <f>'Budget vs. Actuals'!X125</f>
        <v>0</v>
      </c>
    </row>
    <row r="101" spans="1:13">
      <c r="A101" s="1" t="s">
        <v>65</v>
      </c>
      <c r="B101" s="23">
        <f>'Budget vs. Actuals'!B126</f>
        <v>0</v>
      </c>
      <c r="C101" s="23">
        <f>'Budget vs. Actuals'!D126</f>
        <v>0</v>
      </c>
      <c r="D101" s="23">
        <f>'Budget vs. Actuals'!F126</f>
        <v>0</v>
      </c>
      <c r="E101" s="23">
        <f>'Budget vs. Actuals'!H126</f>
        <v>0</v>
      </c>
      <c r="F101" s="23">
        <f>'Budget vs. Actuals'!J126</f>
        <v>0</v>
      </c>
      <c r="G101" s="23">
        <f>'Budget vs. Actuals'!L126</f>
        <v>0</v>
      </c>
      <c r="H101" s="23">
        <f>'Budget vs. Actuals'!N126</f>
        <v>0</v>
      </c>
      <c r="I101" s="23">
        <f>'Budget vs. Actuals'!P126</f>
        <v>0</v>
      </c>
      <c r="J101" s="23">
        <f>'Budget vs. Actuals'!R126</f>
        <v>0</v>
      </c>
      <c r="K101" s="23">
        <f>'Budget vs. Actuals'!T126</f>
        <v>0</v>
      </c>
      <c r="L101" s="23">
        <f>'Budget vs. Actuals'!V126</f>
        <v>0</v>
      </c>
      <c r="M101" s="23">
        <f>'Budget vs. Actuals'!X126</f>
        <v>0</v>
      </c>
    </row>
    <row r="102" spans="1:13">
      <c r="A102" s="1" t="s">
        <v>66</v>
      </c>
      <c r="B102" s="23">
        <f>'Budget vs. Actuals'!B127</f>
        <v>0</v>
      </c>
      <c r="C102" s="23">
        <f>'Budget vs. Actuals'!D127</f>
        <v>112</v>
      </c>
      <c r="D102" s="23">
        <f>'Budget vs. Actuals'!F127</f>
        <v>0</v>
      </c>
      <c r="E102" s="23">
        <f>'Budget vs. Actuals'!H127</f>
        <v>0</v>
      </c>
      <c r="F102" s="23">
        <f>'Budget vs. Actuals'!J127</f>
        <v>0</v>
      </c>
      <c r="G102" s="23">
        <f>'Budget vs. Actuals'!L127</f>
        <v>0</v>
      </c>
      <c r="H102" s="23">
        <f>'Budget vs. Actuals'!N127</f>
        <v>0</v>
      </c>
      <c r="I102" s="23">
        <f>'Budget vs. Actuals'!P127</f>
        <v>0</v>
      </c>
      <c r="J102" s="23">
        <f>'Budget vs. Actuals'!R127</f>
        <v>0</v>
      </c>
      <c r="K102" s="23">
        <f>'Budget vs. Actuals'!T127</f>
        <v>0</v>
      </c>
      <c r="L102" s="23">
        <f>'Budget vs. Actuals'!V127</f>
        <v>0</v>
      </c>
      <c r="M102" s="23">
        <f>'Budget vs. Actuals'!X127</f>
        <v>0</v>
      </c>
    </row>
    <row r="103" spans="1:13">
      <c r="A103" s="1" t="s">
        <v>67</v>
      </c>
      <c r="B103" s="23">
        <f>'Budget vs. Actuals'!B128</f>
        <v>0</v>
      </c>
      <c r="C103" s="23">
        <f>'Budget vs. Actuals'!D128</f>
        <v>112</v>
      </c>
      <c r="D103" s="23">
        <f>'Budget vs. Actuals'!F128</f>
        <v>0</v>
      </c>
      <c r="E103" s="23">
        <f>'Budget vs. Actuals'!H128</f>
        <v>0</v>
      </c>
      <c r="F103" s="23">
        <f>'Budget vs. Actuals'!J128</f>
        <v>0</v>
      </c>
      <c r="G103" s="23">
        <f>'Budget vs. Actuals'!L128</f>
        <v>1000</v>
      </c>
      <c r="H103" s="23">
        <f>'Budget vs. Actuals'!N128</f>
        <v>0</v>
      </c>
      <c r="I103" s="23">
        <f>'Budget vs. Actuals'!P128</f>
        <v>0</v>
      </c>
      <c r="J103" s="23">
        <f>'Budget vs. Actuals'!R128</f>
        <v>0</v>
      </c>
      <c r="K103" s="23">
        <f>'Budget vs. Actuals'!T128</f>
        <v>0</v>
      </c>
      <c r="L103" s="23">
        <f>'Budget vs. Actuals'!V128</f>
        <v>0</v>
      </c>
      <c r="M103" s="23">
        <f>'Budget vs. Actuals'!X128</f>
        <v>0</v>
      </c>
    </row>
    <row r="104" spans="1:13">
      <c r="A104" s="1" t="s">
        <v>68</v>
      </c>
      <c r="B104" s="23">
        <f>'Budget vs. Actuals'!B129</f>
        <v>0</v>
      </c>
      <c r="C104" s="23">
        <f>'Budget vs. Actuals'!D129</f>
        <v>0</v>
      </c>
      <c r="D104" s="23">
        <f>'Budget vs. Actuals'!F129</f>
        <v>0</v>
      </c>
      <c r="E104" s="23">
        <f>'Budget vs. Actuals'!H129</f>
        <v>0</v>
      </c>
      <c r="F104" s="23">
        <f>'Budget vs. Actuals'!J129</f>
        <v>0</v>
      </c>
      <c r="G104" s="23">
        <f>'Budget vs. Actuals'!L129</f>
        <v>0</v>
      </c>
      <c r="H104" s="23">
        <f>'Budget vs. Actuals'!N129</f>
        <v>0</v>
      </c>
      <c r="I104" s="23">
        <f>'Budget vs. Actuals'!P129</f>
        <v>0</v>
      </c>
      <c r="J104" s="23">
        <f>'Budget vs. Actuals'!R129</f>
        <v>0</v>
      </c>
      <c r="K104" s="23">
        <f>'Budget vs. Actuals'!T129</f>
        <v>0</v>
      </c>
      <c r="L104" s="23">
        <f>'Budget vs. Actuals'!V129</f>
        <v>0</v>
      </c>
      <c r="M104" s="23">
        <f>'Budget vs. Actuals'!X129</f>
        <v>0</v>
      </c>
    </row>
    <row r="105" spans="1:13">
      <c r="A105" s="1" t="s">
        <v>69</v>
      </c>
      <c r="B105" s="23">
        <f>'Budget vs. Actuals'!B130</f>
        <v>0</v>
      </c>
      <c r="C105" s="23">
        <f>'Budget vs. Actuals'!D130</f>
        <v>0</v>
      </c>
      <c r="D105" s="23">
        <f>'Budget vs. Actuals'!F130</f>
        <v>0</v>
      </c>
      <c r="E105" s="23">
        <f>'Budget vs. Actuals'!H130</f>
        <v>0</v>
      </c>
      <c r="F105" s="23">
        <f>'Budget vs. Actuals'!J130</f>
        <v>0</v>
      </c>
      <c r="G105" s="23">
        <f>'Budget vs. Actuals'!L130</f>
        <v>0</v>
      </c>
      <c r="H105" s="23">
        <f>'Budget vs. Actuals'!N130</f>
        <v>0</v>
      </c>
      <c r="I105" s="23">
        <f>'Budget vs. Actuals'!P130</f>
        <v>0</v>
      </c>
      <c r="J105" s="23">
        <f>'Budget vs. Actuals'!R130</f>
        <v>0</v>
      </c>
      <c r="K105" s="23">
        <f>'Budget vs. Actuals'!T130</f>
        <v>0</v>
      </c>
      <c r="L105" s="23">
        <f>'Budget vs. Actuals'!V130</f>
        <v>0</v>
      </c>
      <c r="M105" s="23">
        <f>'Budget vs. Actuals'!X130</f>
        <v>0</v>
      </c>
    </row>
    <row r="106" spans="1:13">
      <c r="A106" s="1" t="s">
        <v>89</v>
      </c>
      <c r="B106" s="23">
        <f>'Budget vs. Actuals'!B132</f>
        <v>0</v>
      </c>
      <c r="C106" s="23">
        <f>'Budget vs. Actuals'!D132</f>
        <v>0</v>
      </c>
      <c r="D106" s="23">
        <f>'Budget vs. Actuals'!F132</f>
        <v>0</v>
      </c>
      <c r="E106" s="23">
        <f>'Budget vs. Actuals'!H132</f>
        <v>0</v>
      </c>
      <c r="F106" s="23">
        <f>'Budget vs. Actuals'!J132</f>
        <v>0</v>
      </c>
      <c r="G106" s="23">
        <f>'Budget vs. Actuals'!L132</f>
        <v>0</v>
      </c>
      <c r="H106" s="23">
        <f>'Budget vs. Actuals'!N132</f>
        <v>0</v>
      </c>
      <c r="I106" s="23">
        <f>'Budget vs. Actuals'!P132</f>
        <v>0</v>
      </c>
      <c r="J106" s="23">
        <f>'Budget vs. Actuals'!R132</f>
        <v>0</v>
      </c>
      <c r="K106" s="23">
        <f>'Budget vs. Actuals'!T132</f>
        <v>0</v>
      </c>
      <c r="L106" s="23">
        <f>'Budget vs. Actuals'!V132</f>
        <v>0</v>
      </c>
      <c r="M106" s="23">
        <f>'Budget vs. Actuals'!X132</f>
        <v>0</v>
      </c>
    </row>
    <row r="107" spans="1:13" ht="25">
      <c r="A107" s="1" t="s">
        <v>90</v>
      </c>
      <c r="B107" s="23">
        <f>'Budget vs. Actuals'!B133</f>
        <v>0</v>
      </c>
      <c r="C107" s="23">
        <f>'Budget vs. Actuals'!D133</f>
        <v>0</v>
      </c>
      <c r="D107" s="23">
        <f>'Budget vs. Actuals'!F133</f>
        <v>0</v>
      </c>
      <c r="E107" s="23">
        <f>'Budget vs. Actuals'!H133</f>
        <v>0</v>
      </c>
      <c r="F107" s="23">
        <f>'Budget vs. Actuals'!J133</f>
        <v>0</v>
      </c>
      <c r="G107" s="23">
        <f>'Budget vs. Actuals'!L133</f>
        <v>0</v>
      </c>
      <c r="H107" s="23">
        <f>'Budget vs. Actuals'!N133</f>
        <v>0</v>
      </c>
      <c r="I107" s="23">
        <f>'Budget vs. Actuals'!P133</f>
        <v>0</v>
      </c>
      <c r="J107" s="23">
        <f>'Budget vs. Actuals'!R133</f>
        <v>0</v>
      </c>
      <c r="K107" s="23">
        <f>'Budget vs. Actuals'!T133</f>
        <v>0</v>
      </c>
      <c r="L107" s="23">
        <f>'Budget vs. Actuals'!V133</f>
        <v>0</v>
      </c>
      <c r="M107" s="23">
        <f>'Budget vs. Actuals'!X133</f>
        <v>0</v>
      </c>
    </row>
    <row r="108" spans="1:13">
      <c r="A108" s="1" t="s">
        <v>91</v>
      </c>
      <c r="B108" s="23">
        <f>'Budget vs. Actuals'!B134</f>
        <v>0</v>
      </c>
      <c r="C108" s="23">
        <f>'Budget vs. Actuals'!D134</f>
        <v>0</v>
      </c>
      <c r="D108" s="23">
        <f>'Budget vs. Actuals'!F134</f>
        <v>0</v>
      </c>
      <c r="E108" s="23">
        <f>'Budget vs. Actuals'!H134</f>
        <v>0</v>
      </c>
      <c r="F108" s="23">
        <f>'Budget vs. Actuals'!J134</f>
        <v>0</v>
      </c>
      <c r="G108" s="23">
        <f>'Budget vs. Actuals'!L134</f>
        <v>0</v>
      </c>
      <c r="H108" s="23">
        <f>'Budget vs. Actuals'!N134</f>
        <v>0</v>
      </c>
      <c r="I108" s="23">
        <f>'Budget vs. Actuals'!P134</f>
        <v>0</v>
      </c>
      <c r="J108" s="23">
        <f>'Budget vs. Actuals'!R134</f>
        <v>0</v>
      </c>
      <c r="K108" s="23">
        <f>'Budget vs. Actuals'!T134</f>
        <v>0</v>
      </c>
      <c r="L108" s="23">
        <f>'Budget vs. Actuals'!V134</f>
        <v>0</v>
      </c>
      <c r="M108" s="23">
        <f>'Budget vs. Actuals'!X134</f>
        <v>0</v>
      </c>
    </row>
    <row r="109" spans="1:13">
      <c r="A109" s="1" t="s">
        <v>92</v>
      </c>
      <c r="B109" s="23">
        <f>'Budget vs. Actuals'!B135</f>
        <v>0</v>
      </c>
      <c r="C109" s="23">
        <f>'Budget vs. Actuals'!D135</f>
        <v>0</v>
      </c>
      <c r="D109" s="23">
        <f>'Budget vs. Actuals'!F135</f>
        <v>0</v>
      </c>
      <c r="E109" s="23">
        <f>'Budget vs. Actuals'!H135</f>
        <v>0</v>
      </c>
      <c r="F109" s="23">
        <f>'Budget vs. Actuals'!J135</f>
        <v>0</v>
      </c>
      <c r="G109" s="23">
        <f>'Budget vs. Actuals'!L135</f>
        <v>0</v>
      </c>
      <c r="H109" s="23">
        <f>'Budget vs. Actuals'!N135</f>
        <v>0</v>
      </c>
      <c r="I109" s="23">
        <f>'Budget vs. Actuals'!P135</f>
        <v>0</v>
      </c>
      <c r="J109" s="23">
        <f>'Budget vs. Actuals'!R135</f>
        <v>0</v>
      </c>
      <c r="K109" s="23">
        <f>'Budget vs. Actuals'!T135</f>
        <v>0</v>
      </c>
      <c r="L109" s="23">
        <f>'Budget vs. Actuals'!V135</f>
        <v>0</v>
      </c>
      <c r="M109" s="23">
        <f>'Budget vs. Actuals'!X135</f>
        <v>0</v>
      </c>
    </row>
    <row r="110" spans="1:13">
      <c r="A110" s="1" t="s">
        <v>93</v>
      </c>
      <c r="B110" s="23">
        <f>'Budget vs. Actuals'!B136</f>
        <v>0</v>
      </c>
      <c r="C110" s="23">
        <f>'Budget vs. Actuals'!D136</f>
        <v>0</v>
      </c>
      <c r="D110" s="23">
        <f>'Budget vs. Actuals'!F136</f>
        <v>0</v>
      </c>
      <c r="E110" s="23">
        <f>'Budget vs. Actuals'!H136</f>
        <v>0</v>
      </c>
      <c r="F110" s="23">
        <f>'Budget vs. Actuals'!J136</f>
        <v>0</v>
      </c>
      <c r="G110" s="23">
        <f>'Budget vs. Actuals'!L136</f>
        <v>0</v>
      </c>
      <c r="H110" s="23">
        <f>'Budget vs. Actuals'!N136</f>
        <v>0</v>
      </c>
      <c r="I110" s="23">
        <f>'Budget vs. Actuals'!P136</f>
        <v>0</v>
      </c>
      <c r="J110" s="23">
        <f>'Budget vs. Actuals'!R136</f>
        <v>0</v>
      </c>
      <c r="K110" s="23">
        <f>'Budget vs. Actuals'!T136</f>
        <v>0</v>
      </c>
      <c r="L110" s="23">
        <f>'Budget vs. Actuals'!V136</f>
        <v>0</v>
      </c>
      <c r="M110" s="23">
        <f>'Budget vs. Actuals'!X136</f>
        <v>0</v>
      </c>
    </row>
    <row r="111" spans="1:13">
      <c r="A111" s="1" t="s">
        <v>94</v>
      </c>
      <c r="B111" s="23">
        <f>'Budget vs. Actuals'!B137</f>
        <v>0</v>
      </c>
      <c r="C111" s="23">
        <f>'Budget vs. Actuals'!D137</f>
        <v>0</v>
      </c>
      <c r="D111" s="23">
        <f>'Budget vs. Actuals'!F137</f>
        <v>0</v>
      </c>
      <c r="E111" s="23">
        <f>'Budget vs. Actuals'!H137</f>
        <v>0</v>
      </c>
      <c r="F111" s="23">
        <f>'Budget vs. Actuals'!J137</f>
        <v>0</v>
      </c>
      <c r="G111" s="23">
        <f>'Budget vs. Actuals'!L137</f>
        <v>0</v>
      </c>
      <c r="H111" s="23">
        <f>'Budget vs. Actuals'!N137</f>
        <v>0</v>
      </c>
      <c r="I111" s="23">
        <f>'Budget vs. Actuals'!P137</f>
        <v>0</v>
      </c>
      <c r="J111" s="23">
        <f>'Budget vs. Actuals'!R137</f>
        <v>0</v>
      </c>
      <c r="K111" s="23">
        <f>'Budget vs. Actuals'!T137</f>
        <v>0</v>
      </c>
      <c r="L111" s="23">
        <f>'Budget vs. Actuals'!V137</f>
        <v>0</v>
      </c>
      <c r="M111" s="23">
        <f>'Budget vs. Actuals'!X137</f>
        <v>0</v>
      </c>
    </row>
    <row r="112" spans="1:13" ht="25">
      <c r="A112" s="1" t="s">
        <v>95</v>
      </c>
      <c r="B112" s="23">
        <f>'Budget vs. Actuals'!B138</f>
        <v>0</v>
      </c>
      <c r="C112" s="23">
        <f>'Budget vs. Actuals'!D138</f>
        <v>0</v>
      </c>
      <c r="D112" s="23">
        <f>'Budget vs. Actuals'!F138</f>
        <v>0</v>
      </c>
      <c r="E112" s="23">
        <f>'Budget vs. Actuals'!H138</f>
        <v>0</v>
      </c>
      <c r="F112" s="23">
        <f>'Budget vs. Actuals'!J138</f>
        <v>0</v>
      </c>
      <c r="G112" s="23">
        <f>'Budget vs. Actuals'!L138</f>
        <v>0</v>
      </c>
      <c r="H112" s="23">
        <f>'Budget vs. Actuals'!N138</f>
        <v>0</v>
      </c>
      <c r="I112" s="23">
        <f>'Budget vs. Actuals'!P138</f>
        <v>0</v>
      </c>
      <c r="J112" s="23">
        <f>'Budget vs. Actuals'!R138</f>
        <v>0</v>
      </c>
      <c r="K112" s="23">
        <f>'Budget vs. Actuals'!T138</f>
        <v>0</v>
      </c>
      <c r="L112" s="23">
        <f>'Budget vs. Actuals'!V138</f>
        <v>0</v>
      </c>
      <c r="M112" s="23">
        <f>'Budget vs. Actuals'!X138</f>
        <v>0</v>
      </c>
    </row>
    <row r="113" spans="1:13">
      <c r="A113" s="1" t="s">
        <v>96</v>
      </c>
      <c r="B113" s="23">
        <f>'Budget vs. Actuals'!B139</f>
        <v>129879.34</v>
      </c>
      <c r="C113" s="23">
        <f>'Budget vs. Actuals'!D139</f>
        <v>67215.149999999994</v>
      </c>
      <c r="D113" s="23">
        <f>'Budget vs. Actuals'!F139</f>
        <v>46296.4</v>
      </c>
      <c r="E113" s="23">
        <f>'Budget vs. Actuals'!H139</f>
        <v>20266.580000000002</v>
      </c>
      <c r="F113" s="23">
        <f>'Budget vs. Actuals'!J139</f>
        <v>57940.18</v>
      </c>
      <c r="G113" s="23">
        <f>'Budget vs. Actuals'!L139</f>
        <v>49544.38</v>
      </c>
      <c r="H113" s="23">
        <f>'Budget vs. Actuals'!N139</f>
        <v>39696.6</v>
      </c>
      <c r="I113" s="23">
        <f>'Budget vs. Actuals'!P139</f>
        <v>0</v>
      </c>
      <c r="J113" s="23">
        <f>'Budget vs. Actuals'!R139</f>
        <v>0</v>
      </c>
      <c r="K113" s="23">
        <f>'Budget vs. Actuals'!T139</f>
        <v>0</v>
      </c>
      <c r="L113" s="23">
        <f>'Budget vs. Actuals'!V139</f>
        <v>0</v>
      </c>
      <c r="M113" s="23">
        <f>'Budget vs. Actuals'!X139</f>
        <v>0</v>
      </c>
    </row>
    <row r="114" spans="1:13">
      <c r="A114" s="1" t="s">
        <v>97</v>
      </c>
      <c r="B114" s="23">
        <f>'Budget vs. Actuals'!B140</f>
        <v>86034.59</v>
      </c>
      <c r="C114" s="23">
        <f>'Budget vs. Actuals'!D140</f>
        <v>33768.060000000012</v>
      </c>
      <c r="D114" s="23">
        <f>'Budget vs. Actuals'!F140</f>
        <v>-36760.79</v>
      </c>
      <c r="E114" s="23">
        <f>'Budget vs. Actuals'!H140</f>
        <v>95913.58</v>
      </c>
      <c r="F114" s="23">
        <f>'Budget vs. Actuals'!J140</f>
        <v>-50234.84</v>
      </c>
      <c r="G114" s="23">
        <f>'Budget vs. Actuals'!L140</f>
        <v>-41125.99</v>
      </c>
      <c r="H114" s="23">
        <f>'Budget vs. Actuals'!N140</f>
        <v>59545.939999999995</v>
      </c>
      <c r="I114" s="23">
        <f>'Budget vs. Actuals'!P140</f>
        <v>0</v>
      </c>
      <c r="J114" s="23">
        <f>'Budget vs. Actuals'!R140</f>
        <v>0</v>
      </c>
      <c r="K114" s="23">
        <f>'Budget vs. Actuals'!T140</f>
        <v>0</v>
      </c>
      <c r="L114" s="23">
        <f>'Budget vs. Actuals'!V140</f>
        <v>0</v>
      </c>
      <c r="M114" s="23">
        <f>'Budget vs. Actuals'!X140</f>
        <v>0</v>
      </c>
    </row>
    <row r="115" spans="1:13">
      <c r="A115" s="1" t="s">
        <v>98</v>
      </c>
      <c r="B115" s="23">
        <f>'Budget vs. Actuals'!B141</f>
        <v>86034.59</v>
      </c>
      <c r="C115" s="23">
        <f>'Budget vs. Actuals'!D141</f>
        <v>33768.060000000012</v>
      </c>
      <c r="D115" s="23">
        <f>'Budget vs. Actuals'!F141</f>
        <v>-36760.79</v>
      </c>
      <c r="E115" s="23">
        <f>'Budget vs. Actuals'!H141</f>
        <v>95913.58</v>
      </c>
      <c r="F115" s="23">
        <f>'Budget vs. Actuals'!J141</f>
        <v>-50234.84</v>
      </c>
      <c r="G115" s="23">
        <f>'Budget vs. Actuals'!L141</f>
        <v>-41125.99</v>
      </c>
      <c r="H115" s="23">
        <f>'Budget vs. Actuals'!N141</f>
        <v>59545.939999999995</v>
      </c>
      <c r="I115" s="23">
        <f>'Budget vs. Actuals'!P141</f>
        <v>0</v>
      </c>
      <c r="J115" s="23">
        <f>'Budget vs. Actuals'!R141</f>
        <v>0</v>
      </c>
      <c r="K115" s="23">
        <f>'Budget vs. Actuals'!T141</f>
        <v>0</v>
      </c>
      <c r="L115" s="23">
        <f>'Budget vs. Actuals'!V141</f>
        <v>0</v>
      </c>
      <c r="M115" s="23">
        <f>'Budget vs. Actuals'!X141</f>
        <v>0</v>
      </c>
    </row>
  </sheetData>
  <phoneticPr fontId="6" type="noConversion"/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5"/>
  <sheetViews>
    <sheetView view="pageLayout" workbookViewId="0">
      <selection sqref="A1:A1048576"/>
    </sheetView>
  </sheetViews>
  <sheetFormatPr baseColWidth="10" defaultColWidth="11.5" defaultRowHeight="15"/>
  <cols>
    <col min="1" max="1" width="46.5" customWidth="1"/>
    <col min="2" max="2" width="10.1640625" customWidth="1"/>
    <col min="3" max="3" width="8.83203125" customWidth="1"/>
    <col min="4" max="4" width="11" customWidth="1"/>
    <col min="5" max="5" width="7.83203125" customWidth="1"/>
    <col min="6" max="6" width="9.33203125" customWidth="1"/>
    <col min="7" max="7" width="9.1640625" customWidth="1"/>
    <col min="8" max="8" width="7.5" customWidth="1"/>
    <col min="9" max="9" width="7.83203125" customWidth="1"/>
    <col min="10" max="10" width="6.83203125" customWidth="1"/>
    <col min="11" max="11" width="7.83203125" customWidth="1"/>
    <col min="12" max="12" width="8.5" customWidth="1"/>
    <col min="13" max="13" width="6.33203125" customWidth="1"/>
  </cols>
  <sheetData>
    <row r="1" spans="1:13">
      <c r="A1" s="1" t="s">
        <v>136</v>
      </c>
      <c r="B1" s="7" t="s">
        <v>125</v>
      </c>
      <c r="C1" s="7" t="s">
        <v>126</v>
      </c>
      <c r="D1" s="7" t="s">
        <v>127</v>
      </c>
      <c r="E1" s="7" t="s">
        <v>128</v>
      </c>
      <c r="F1" s="7" t="s">
        <v>129</v>
      </c>
      <c r="G1" s="7" t="s">
        <v>130</v>
      </c>
      <c r="H1" s="7" t="s">
        <v>131</v>
      </c>
      <c r="I1" s="7" t="s">
        <v>132</v>
      </c>
      <c r="J1" s="7" t="s">
        <v>133</v>
      </c>
      <c r="K1" s="7" t="s">
        <v>119</v>
      </c>
      <c r="L1" s="7" t="s">
        <v>134</v>
      </c>
      <c r="M1" s="7" t="s">
        <v>135</v>
      </c>
    </row>
    <row r="2" spans="1:13">
      <c r="A2" s="1" t="s">
        <v>72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>
      <c r="A3" s="1" t="s">
        <v>73</v>
      </c>
      <c r="B3" s="22">
        <f>'Budget vs. Actuals'!C9</f>
        <v>0</v>
      </c>
      <c r="C3" s="22">
        <f>'Budget vs. Actuals'!E9</f>
        <v>0</v>
      </c>
      <c r="D3" s="22">
        <f>'Budget vs. Actuals'!G9</f>
        <v>0</v>
      </c>
      <c r="E3" s="22">
        <f>'Budget vs. Actuals'!I9</f>
        <v>0</v>
      </c>
      <c r="F3" s="22">
        <f>'Budget vs. Actuals'!K9</f>
        <v>0</v>
      </c>
      <c r="G3" s="22">
        <f>'Budget vs. Actuals'!M9</f>
        <v>0</v>
      </c>
      <c r="H3" s="22">
        <f>'Budget vs. Actuals'!O9</f>
        <v>0</v>
      </c>
      <c r="I3" s="22">
        <f>'Budget vs. Actuals'!Q9</f>
        <v>0</v>
      </c>
      <c r="J3" s="22">
        <f>'Budget vs. Actuals'!S9</f>
        <v>0</v>
      </c>
      <c r="K3" s="22">
        <f>'Budget vs. Actuals'!U9</f>
        <v>0</v>
      </c>
      <c r="L3" s="22">
        <f>'Budget vs. Actuals'!W9</f>
        <v>0</v>
      </c>
      <c r="M3" s="22">
        <f>'Budget vs. Actuals'!Y9</f>
        <v>0</v>
      </c>
    </row>
    <row r="4" spans="1:13">
      <c r="A4" s="1" t="s">
        <v>74</v>
      </c>
      <c r="B4" s="22">
        <f>'Budget vs. Actuals'!C10</f>
        <v>0</v>
      </c>
      <c r="C4" s="22">
        <f>'Budget vs. Actuals'!E10</f>
        <v>0</v>
      </c>
      <c r="D4" s="22">
        <f>'Budget vs. Actuals'!G10</f>
        <v>0</v>
      </c>
      <c r="E4" s="22">
        <f>'Budget vs. Actuals'!I10</f>
        <v>0</v>
      </c>
      <c r="F4" s="22">
        <f>'Budget vs. Actuals'!K10</f>
        <v>0</v>
      </c>
      <c r="G4" s="22">
        <f>'Budget vs. Actuals'!M10</f>
        <v>0</v>
      </c>
      <c r="H4" s="22">
        <f>'Budget vs. Actuals'!O10</f>
        <v>0</v>
      </c>
      <c r="I4" s="22">
        <f>'Budget vs. Actuals'!Q10</f>
        <v>0</v>
      </c>
      <c r="J4" s="22">
        <f>'Budget vs. Actuals'!S10</f>
        <v>0</v>
      </c>
      <c r="K4" s="22">
        <f>'Budget vs. Actuals'!U10</f>
        <v>0</v>
      </c>
      <c r="L4" s="22">
        <f>'Budget vs. Actuals'!W10</f>
        <v>0</v>
      </c>
      <c r="M4" s="22">
        <f>'Budget vs. Actuals'!Y10</f>
        <v>0</v>
      </c>
    </row>
    <row r="5" spans="1:13">
      <c r="A5" s="1" t="s">
        <v>75</v>
      </c>
      <c r="B5" s="22">
        <f>'Budget vs. Actuals'!C11</f>
        <v>0</v>
      </c>
      <c r="C5" s="22">
        <f>'Budget vs. Actuals'!E11</f>
        <v>0</v>
      </c>
      <c r="D5" s="22">
        <f>'Budget vs. Actuals'!G11</f>
        <v>0</v>
      </c>
      <c r="E5" s="22">
        <f>'Budget vs. Actuals'!I11</f>
        <v>0</v>
      </c>
      <c r="F5" s="22">
        <f>'Budget vs. Actuals'!K11</f>
        <v>0</v>
      </c>
      <c r="G5" s="22">
        <f>'Budget vs. Actuals'!M11</f>
        <v>0</v>
      </c>
      <c r="H5" s="22">
        <f>'Budget vs. Actuals'!O11</f>
        <v>0</v>
      </c>
      <c r="I5" s="22">
        <f>'Budget vs. Actuals'!Q11</f>
        <v>0</v>
      </c>
      <c r="J5" s="22">
        <f>'Budget vs. Actuals'!S11</f>
        <v>0</v>
      </c>
      <c r="K5" s="22">
        <f>'Budget vs. Actuals'!U11</f>
        <v>0</v>
      </c>
      <c r="L5" s="22">
        <f>'Budget vs. Actuals'!W11</f>
        <v>0</v>
      </c>
      <c r="M5" s="22">
        <f>'Budget vs. Actuals'!Y11</f>
        <v>0</v>
      </c>
    </row>
    <row r="6" spans="1:13">
      <c r="A6" s="1" t="s">
        <v>76</v>
      </c>
      <c r="B6" s="22">
        <f>'Budget vs. Actuals'!C12</f>
        <v>0</v>
      </c>
      <c r="C6" s="22">
        <f>'Budget vs. Actuals'!E12</f>
        <v>0.29978896226415092</v>
      </c>
      <c r="D6" s="22">
        <f>'Budget vs. Actuals'!G12</f>
        <v>0</v>
      </c>
      <c r="E6" s="22">
        <f>'Budget vs. Actuals'!I12</f>
        <v>0.3455193710691824</v>
      </c>
      <c r="F6" s="22">
        <f>'Budget vs. Actuals'!K12</f>
        <v>0</v>
      </c>
      <c r="G6" s="22">
        <f>'Budget vs. Actuals'!M12</f>
        <v>0</v>
      </c>
      <c r="H6" s="22">
        <f>'Budget vs. Actuals'!O12</f>
        <v>0.28340421383647796</v>
      </c>
      <c r="I6" s="22">
        <f>'Budget vs. Actuals'!Q12</f>
        <v>0</v>
      </c>
      <c r="J6" s="22">
        <f>'Budget vs. Actuals'!S12</f>
        <v>0</v>
      </c>
      <c r="K6" s="22">
        <f>'Budget vs. Actuals'!U12</f>
        <v>0</v>
      </c>
      <c r="L6" s="22">
        <f>'Budget vs. Actuals'!W12</f>
        <v>0</v>
      </c>
      <c r="M6" s="22">
        <f>'Budget vs. Actuals'!Y12</f>
        <v>0</v>
      </c>
    </row>
    <row r="7" spans="1:13">
      <c r="A7" s="1" t="s">
        <v>77</v>
      </c>
      <c r="B7" s="22">
        <f>'Budget vs. Actuals'!C13</f>
        <v>6.6105919003115271E-2</v>
      </c>
      <c r="C7" s="22">
        <f>'Budget vs. Actuals'!E13</f>
        <v>6.4485981308411211E-2</v>
      </c>
      <c r="D7" s="22">
        <f>'Budget vs. Actuals'!G13</f>
        <v>3.5451713395638629E-2</v>
      </c>
      <c r="E7" s="22">
        <f>'Budget vs. Actuals'!I13</f>
        <v>0.10124610591900311</v>
      </c>
      <c r="F7" s="22">
        <f>'Budget vs. Actuals'!K13</f>
        <v>0.17196261682242991</v>
      </c>
      <c r="G7" s="22">
        <f>'Budget vs. Actuals'!M13</f>
        <v>0.2292834890965732</v>
      </c>
      <c r="H7" s="22">
        <f>'Budget vs. Actuals'!O13</f>
        <v>0.16479750778816199</v>
      </c>
      <c r="I7" s="22">
        <f>'Budget vs. Actuals'!Q13</f>
        <v>0</v>
      </c>
      <c r="J7" s="22">
        <f>'Budget vs. Actuals'!S13</f>
        <v>0</v>
      </c>
      <c r="K7" s="22">
        <f>'Budget vs. Actuals'!U13</f>
        <v>0</v>
      </c>
      <c r="L7" s="22">
        <f>'Budget vs. Actuals'!W13</f>
        <v>0</v>
      </c>
      <c r="M7" s="22">
        <f>'Budget vs. Actuals'!Y13</f>
        <v>0</v>
      </c>
    </row>
    <row r="8" spans="1:13">
      <c r="A8" s="1" t="s">
        <v>78</v>
      </c>
      <c r="B8" s="22">
        <f>'Budget vs. Actuals'!C14</f>
        <v>0</v>
      </c>
      <c r="C8" s="22">
        <f>'Budget vs. Actuals'!E14</f>
        <v>0</v>
      </c>
      <c r="D8" s="22">
        <f>'Budget vs. Actuals'!G14</f>
        <v>0</v>
      </c>
      <c r="E8" s="22">
        <f>'Budget vs. Actuals'!I14</f>
        <v>0</v>
      </c>
      <c r="F8" s="22">
        <f>'Budget vs. Actuals'!K14</f>
        <v>0</v>
      </c>
      <c r="G8" s="22">
        <f>'Budget vs. Actuals'!M14</f>
        <v>0</v>
      </c>
      <c r="H8" s="22">
        <f>'Budget vs. Actuals'!O14</f>
        <v>0</v>
      </c>
      <c r="I8" s="22">
        <f>'Budget vs. Actuals'!Q14</f>
        <v>0</v>
      </c>
      <c r="J8" s="22">
        <f>'Budget vs. Actuals'!S14</f>
        <v>0</v>
      </c>
      <c r="K8" s="22">
        <f>'Budget vs. Actuals'!U14</f>
        <v>0</v>
      </c>
      <c r="L8" s="22">
        <f>'Budget vs. Actuals'!W14</f>
        <v>0</v>
      </c>
      <c r="M8" s="22">
        <f>'Budget vs. Actuals'!Y14</f>
        <v>0</v>
      </c>
    </row>
    <row r="9" spans="1:13">
      <c r="A9" s="1" t="s">
        <v>79</v>
      </c>
      <c r="B9" s="22">
        <f>'Budget vs. Actuals'!C16</f>
        <v>1.2164536646138411</v>
      </c>
      <c r="C9" s="22">
        <f>'Budget vs. Actuals'!E16</f>
        <v>0</v>
      </c>
      <c r="D9" s="22">
        <f>'Budget vs. Actuals'!G16</f>
        <v>0</v>
      </c>
      <c r="E9" s="22">
        <f>'Budget vs. Actuals'!I16</f>
        <v>0</v>
      </c>
      <c r="F9" s="22">
        <f>'Budget vs. Actuals'!K16</f>
        <v>0</v>
      </c>
      <c r="G9" s="22">
        <f>'Budget vs. Actuals'!M16</f>
        <v>0</v>
      </c>
      <c r="H9" s="22">
        <f>'Budget vs. Actuals'!O16</f>
        <v>0</v>
      </c>
      <c r="I9" s="22">
        <f>'Budget vs. Actuals'!Q16</f>
        <v>0</v>
      </c>
      <c r="J9" s="22">
        <f>'Budget vs. Actuals'!S16</f>
        <v>0</v>
      </c>
      <c r="K9" s="22">
        <f>'Budget vs. Actuals'!U16</f>
        <v>0</v>
      </c>
      <c r="L9" s="22">
        <f>'Budget vs. Actuals'!W16</f>
        <v>0</v>
      </c>
      <c r="M9" s="22">
        <f>'Budget vs. Actuals'!Y16</f>
        <v>0</v>
      </c>
    </row>
    <row r="10" spans="1:13">
      <c r="A10" s="1" t="s">
        <v>80</v>
      </c>
      <c r="B10" s="22">
        <f>'Budget vs. Actuals'!C19</f>
        <v>0.82984799999999992</v>
      </c>
      <c r="C10" s="22">
        <f>'Budget vs. Actuals'!E19</f>
        <v>0</v>
      </c>
      <c r="D10" s="22">
        <f>'Budget vs. Actuals'!G19</f>
        <v>0</v>
      </c>
      <c r="E10" s="22">
        <f>'Budget vs. Actuals'!I19</f>
        <v>0</v>
      </c>
      <c r="F10" s="22">
        <f>'Budget vs. Actuals'!K19</f>
        <v>0</v>
      </c>
      <c r="G10" s="22">
        <f>'Budget vs. Actuals'!M19</f>
        <v>0</v>
      </c>
      <c r="H10" s="22">
        <f>'Budget vs. Actuals'!O19</f>
        <v>0</v>
      </c>
      <c r="I10" s="22">
        <f>'Budget vs. Actuals'!Q19</f>
        <v>0</v>
      </c>
      <c r="J10" s="22">
        <f>'Budget vs. Actuals'!S19</f>
        <v>0</v>
      </c>
      <c r="K10" s="22">
        <f>'Budget vs. Actuals'!U19</f>
        <v>0</v>
      </c>
      <c r="L10" s="22">
        <f>'Budget vs. Actuals'!W19</f>
        <v>0</v>
      </c>
      <c r="M10" s="22">
        <f>'Budget vs. Actuals'!Y19</f>
        <v>0</v>
      </c>
    </row>
    <row r="11" spans="1:13">
      <c r="A11" s="1" t="s">
        <v>81</v>
      </c>
      <c r="B11" s="22">
        <f>'Budget vs. Actuals'!C20</f>
        <v>0</v>
      </c>
      <c r="C11" s="22">
        <f>'Budget vs. Actuals'!E20</f>
        <v>0</v>
      </c>
      <c r="D11" s="22">
        <f>'Budget vs. Actuals'!G20</f>
        <v>0</v>
      </c>
      <c r="E11" s="22">
        <f>'Budget vs. Actuals'!I20</f>
        <v>0</v>
      </c>
      <c r="F11" s="22">
        <f>'Budget vs. Actuals'!K20</f>
        <v>0</v>
      </c>
      <c r="G11" s="22">
        <f>'Budget vs. Actuals'!M20</f>
        <v>0</v>
      </c>
      <c r="H11" s="22">
        <f>'Budget vs. Actuals'!O20</f>
        <v>0</v>
      </c>
      <c r="I11" s="22">
        <f>'Budget vs. Actuals'!Q20</f>
        <v>0</v>
      </c>
      <c r="J11" s="22">
        <f>'Budget vs. Actuals'!S20</f>
        <v>0</v>
      </c>
      <c r="K11" s="22">
        <f>'Budget vs. Actuals'!U20</f>
        <v>0</v>
      </c>
      <c r="L11" s="22">
        <f>'Budget vs. Actuals'!W20</f>
        <v>0</v>
      </c>
      <c r="M11" s="22">
        <f>'Budget vs. Actuals'!Y20</f>
        <v>0</v>
      </c>
    </row>
    <row r="12" spans="1:13">
      <c r="A12" s="1" t="s">
        <v>82</v>
      </c>
      <c r="B12" s="22">
        <f>'Budget vs. Actuals'!C21</f>
        <v>0.31911442717537897</v>
      </c>
      <c r="C12" s="22">
        <f>'Budget vs. Actuals'!E21</f>
        <v>0.14746237886401167</v>
      </c>
      <c r="D12" s="22">
        <f>'Budget vs. Actuals'!G21</f>
        <v>8.7068517919840986E-4</v>
      </c>
      <c r="E12" s="22">
        <f>'Budget vs. Actuals'!I21</f>
        <v>0.17061781509710258</v>
      </c>
      <c r="F12" s="22">
        <f>'Budget vs. Actuals'!K21</f>
        <v>4.223358689960652E-3</v>
      </c>
      <c r="G12" s="22">
        <f>'Budget vs. Actuals'!M21</f>
        <v>5.6311449199475359E-3</v>
      </c>
      <c r="H12" s="22">
        <f>'Budget vs. Actuals'!O21</f>
        <v>0.14195311456712767</v>
      </c>
      <c r="I12" s="22">
        <f>'Budget vs. Actuals'!Q21</f>
        <v>0</v>
      </c>
      <c r="J12" s="22">
        <f>'Budget vs. Actuals'!S21</f>
        <v>0</v>
      </c>
      <c r="K12" s="22">
        <f>'Budget vs. Actuals'!U21</f>
        <v>0</v>
      </c>
      <c r="L12" s="22">
        <f>'Budget vs. Actuals'!W21</f>
        <v>0</v>
      </c>
      <c r="M12" s="22">
        <f>'Budget vs. Actuals'!Y21</f>
        <v>0</v>
      </c>
    </row>
    <row r="13" spans="1:13">
      <c r="A13" s="1" t="s">
        <v>83</v>
      </c>
      <c r="B13" s="22">
        <f>'Budget vs. Actuals'!C22</f>
        <v>0</v>
      </c>
      <c r="C13" s="22">
        <f>'Budget vs. Actuals'!E22</f>
        <v>0</v>
      </c>
      <c r="D13" s="22">
        <f>'Budget vs. Actuals'!G22</f>
        <v>0</v>
      </c>
      <c r="E13" s="22">
        <f>'Budget vs. Actuals'!I22</f>
        <v>0</v>
      </c>
      <c r="F13" s="22">
        <f>'Budget vs. Actuals'!K22</f>
        <v>0</v>
      </c>
      <c r="G13" s="22">
        <f>'Budget vs. Actuals'!M22</f>
        <v>0</v>
      </c>
      <c r="H13" s="22">
        <f>'Budget vs. Actuals'!O22</f>
        <v>0</v>
      </c>
      <c r="I13" s="22">
        <f>'Budget vs. Actuals'!Q22</f>
        <v>0</v>
      </c>
      <c r="J13" s="22">
        <f>'Budget vs. Actuals'!S22</f>
        <v>0</v>
      </c>
      <c r="K13" s="22">
        <f>'Budget vs. Actuals'!U22</f>
        <v>0</v>
      </c>
      <c r="L13" s="22">
        <f>'Budget vs. Actuals'!W22</f>
        <v>0</v>
      </c>
      <c r="M13" s="22">
        <f>'Budget vs. Actuals'!Y22</f>
        <v>0</v>
      </c>
    </row>
    <row r="14" spans="1:13">
      <c r="A14" s="1" t="s">
        <v>84</v>
      </c>
      <c r="B14" s="22">
        <f>'Budget vs. Actuals'!C23</f>
        <v>0</v>
      </c>
      <c r="C14" s="22">
        <f>'Budget vs. Actuals'!E23</f>
        <v>0</v>
      </c>
      <c r="D14" s="22">
        <f>'Budget vs. Actuals'!G23</f>
        <v>0</v>
      </c>
      <c r="E14" s="22">
        <f>'Budget vs. Actuals'!I23</f>
        <v>0</v>
      </c>
      <c r="F14" s="22">
        <f>'Budget vs. Actuals'!K23</f>
        <v>0</v>
      </c>
      <c r="G14" s="22">
        <f>'Budget vs. Actuals'!M23</f>
        <v>0</v>
      </c>
      <c r="H14" s="22">
        <f>'Budget vs. Actuals'!O23</f>
        <v>0</v>
      </c>
      <c r="I14" s="22">
        <f>'Budget vs. Actuals'!Q23</f>
        <v>0</v>
      </c>
      <c r="J14" s="22">
        <f>'Budget vs. Actuals'!S23</f>
        <v>0</v>
      </c>
      <c r="K14" s="22">
        <f>'Budget vs. Actuals'!U23</f>
        <v>0</v>
      </c>
      <c r="L14" s="22">
        <f>'Budget vs. Actuals'!W23</f>
        <v>0</v>
      </c>
      <c r="M14" s="22">
        <f>'Budget vs. Actuals'!Y23</f>
        <v>0</v>
      </c>
    </row>
    <row r="15" spans="1:13">
      <c r="A15" s="1" t="s">
        <v>85</v>
      </c>
      <c r="B15" s="22">
        <f>'Budget vs. Actuals'!C24</f>
        <v>0</v>
      </c>
      <c r="C15" s="22">
        <f>'Budget vs. Actuals'!E24</f>
        <v>0</v>
      </c>
      <c r="D15" s="22">
        <f>'Budget vs. Actuals'!G24</f>
        <v>0</v>
      </c>
      <c r="E15" s="22">
        <f>'Budget vs. Actuals'!I24</f>
        <v>0</v>
      </c>
      <c r="F15" s="22">
        <f>'Budget vs. Actuals'!K24</f>
        <v>0</v>
      </c>
      <c r="G15" s="22">
        <f>'Budget vs. Actuals'!M24</f>
        <v>0</v>
      </c>
      <c r="H15" s="22">
        <f>'Budget vs. Actuals'!O24</f>
        <v>0</v>
      </c>
      <c r="I15" s="22">
        <f>'Budget vs. Actuals'!Q24</f>
        <v>0</v>
      </c>
      <c r="J15" s="22">
        <f>'Budget vs. Actuals'!S24</f>
        <v>0</v>
      </c>
      <c r="K15" s="22">
        <f>'Budget vs. Actuals'!U24</f>
        <v>0</v>
      </c>
      <c r="L15" s="22">
        <f>'Budget vs. Actuals'!W24</f>
        <v>0</v>
      </c>
      <c r="M15" s="22">
        <f>'Budget vs. Actuals'!Y24</f>
        <v>0</v>
      </c>
    </row>
    <row r="16" spans="1:13">
      <c r="A16" s="1" t="s">
        <v>86</v>
      </c>
      <c r="B16" s="22">
        <f>'Budget vs. Actuals'!C25</f>
        <v>0</v>
      </c>
      <c r="C16" s="22">
        <f>'Budget vs. Actuals'!E25</f>
        <v>0</v>
      </c>
      <c r="D16" s="22">
        <f>'Budget vs. Actuals'!G25</f>
        <v>0</v>
      </c>
      <c r="E16" s="22">
        <f>'Budget vs. Actuals'!I25</f>
        <v>0</v>
      </c>
      <c r="F16" s="22">
        <f>'Budget vs. Actuals'!K25</f>
        <v>0</v>
      </c>
      <c r="G16" s="22">
        <f>'Budget vs. Actuals'!M25</f>
        <v>0</v>
      </c>
      <c r="H16" s="22">
        <f>'Budget vs. Actuals'!O25</f>
        <v>0</v>
      </c>
      <c r="I16" s="22">
        <f>'Budget vs. Actuals'!Q25</f>
        <v>0</v>
      </c>
      <c r="J16" s="22">
        <f>'Budget vs. Actuals'!S25</f>
        <v>0</v>
      </c>
      <c r="K16" s="22">
        <f>'Budget vs. Actuals'!U25</f>
        <v>0</v>
      </c>
      <c r="L16" s="22">
        <f>'Budget vs. Actuals'!W25</f>
        <v>0</v>
      </c>
      <c r="M16" s="22">
        <f>'Budget vs. Actuals'!Y25</f>
        <v>0</v>
      </c>
    </row>
    <row r="17" spans="1:13">
      <c r="A17" s="1" t="s">
        <v>87</v>
      </c>
      <c r="B17" s="22">
        <f>'Budget vs. Actuals'!C26</f>
        <v>0</v>
      </c>
      <c r="C17" s="22">
        <f>'Budget vs. Actuals'!E26</f>
        <v>0</v>
      </c>
      <c r="D17" s="22">
        <f>'Budget vs. Actuals'!G26</f>
        <v>0</v>
      </c>
      <c r="E17" s="22">
        <f>'Budget vs. Actuals'!I26</f>
        <v>0</v>
      </c>
      <c r="F17" s="22">
        <f>'Budget vs. Actuals'!K26</f>
        <v>0</v>
      </c>
      <c r="G17" s="22">
        <f>'Budget vs. Actuals'!M26</f>
        <v>0</v>
      </c>
      <c r="H17" s="22">
        <f>'Budget vs. Actuals'!O26</f>
        <v>0</v>
      </c>
      <c r="I17" s="22">
        <f>'Budget vs. Actuals'!Q26</f>
        <v>0</v>
      </c>
      <c r="J17" s="22">
        <f>'Budget vs. Actuals'!S26</f>
        <v>0</v>
      </c>
      <c r="K17" s="22">
        <f>'Budget vs. Actuals'!U26</f>
        <v>0</v>
      </c>
      <c r="L17" s="22">
        <f>'Budget vs. Actuals'!W26</f>
        <v>0</v>
      </c>
      <c r="M17" s="22">
        <f>'Budget vs. Actuals'!Y26</f>
        <v>0</v>
      </c>
    </row>
    <row r="18" spans="1:13">
      <c r="A18" s="1" t="s">
        <v>88</v>
      </c>
      <c r="B18" s="22">
        <f>'Budget vs. Actuals'!C27</f>
        <v>0</v>
      </c>
      <c r="C18" s="22">
        <f>'Budget vs. Actuals'!E27</f>
        <v>0</v>
      </c>
      <c r="D18" s="22">
        <f>'Budget vs. Actuals'!G27</f>
        <v>0.15</v>
      </c>
      <c r="E18" s="22">
        <f>'Budget vs. Actuals'!I27</f>
        <v>0</v>
      </c>
      <c r="F18" s="22">
        <f>'Budget vs. Actuals'!K27</f>
        <v>0</v>
      </c>
      <c r="G18" s="22">
        <f>'Budget vs. Actuals'!M27</f>
        <v>0.15</v>
      </c>
      <c r="H18" s="22">
        <f>'Budget vs. Actuals'!O27</f>
        <v>0</v>
      </c>
      <c r="I18" s="22">
        <f>'Budget vs. Actuals'!Q27</f>
        <v>0</v>
      </c>
      <c r="J18" s="22">
        <f>'Budget vs. Actuals'!S27</f>
        <v>0</v>
      </c>
      <c r="K18" s="22">
        <f>'Budget vs. Actuals'!U27</f>
        <v>0</v>
      </c>
      <c r="L18" s="22">
        <f>'Budget vs. Actuals'!W27</f>
        <v>0</v>
      </c>
      <c r="M18" s="22">
        <f>'Budget vs. Actuals'!Y27</f>
        <v>0</v>
      </c>
    </row>
    <row r="19" spans="1:13">
      <c r="A19" s="1" t="s">
        <v>0</v>
      </c>
      <c r="B19" s="22">
        <f>'Budget vs. Actuals'!C28</f>
        <v>4.5714285714285714E-2</v>
      </c>
      <c r="C19" s="22">
        <f>'Budget vs. Actuals'!E28</f>
        <v>6.4285714285714279E-2</v>
      </c>
      <c r="D19" s="22">
        <f>'Budget vs. Actuals'!G28</f>
        <v>0.17142857142857143</v>
      </c>
      <c r="E19" s="22">
        <f>'Budget vs. Actuals'!I28</f>
        <v>0.2257142857142857</v>
      </c>
      <c r="F19" s="22">
        <f>'Budget vs. Actuals'!K28</f>
        <v>0.15</v>
      </c>
      <c r="G19" s="22">
        <f>'Budget vs. Actuals'!M28</f>
        <v>0</v>
      </c>
      <c r="H19" s="22">
        <f>'Budget vs. Actuals'!O28</f>
        <v>2.1428571428571429E-2</v>
      </c>
      <c r="I19" s="22">
        <f>'Budget vs. Actuals'!Q28</f>
        <v>0</v>
      </c>
      <c r="J19" s="22">
        <f>'Budget vs. Actuals'!S28</f>
        <v>0</v>
      </c>
      <c r="K19" s="22">
        <f>'Budget vs. Actuals'!U28</f>
        <v>0</v>
      </c>
      <c r="L19" s="22">
        <f>'Budget vs. Actuals'!W28</f>
        <v>0</v>
      </c>
      <c r="M19" s="22">
        <f>'Budget vs. Actuals'!Y28</f>
        <v>0</v>
      </c>
    </row>
    <row r="20" spans="1:13">
      <c r="A20" s="1" t="s">
        <v>1</v>
      </c>
      <c r="B20" s="22">
        <f>'Budget vs. Actuals'!C29</f>
        <v>4.3243243243243246E-2</v>
      </c>
      <c r="C20" s="22">
        <f>'Budget vs. Actuals'!E29</f>
        <v>6.0810810810810814E-2</v>
      </c>
      <c r="D20" s="22">
        <f>'Budget vs. Actuals'!G29</f>
        <v>0.17027027027027028</v>
      </c>
      <c r="E20" s="22">
        <f>'Budget vs. Actuals'!I29</f>
        <v>0.21351351351351353</v>
      </c>
      <c r="F20" s="22">
        <f>'Budget vs. Actuals'!K29</f>
        <v>0.14189189189189189</v>
      </c>
      <c r="G20" s="22">
        <f>'Budget vs. Actuals'!M29</f>
        <v>8.1081081081081086E-3</v>
      </c>
      <c r="H20" s="22">
        <f>'Budget vs. Actuals'!O29</f>
        <v>2.0270270270270271E-2</v>
      </c>
      <c r="I20" s="22">
        <f>'Budget vs. Actuals'!Q29</f>
        <v>0</v>
      </c>
      <c r="J20" s="22">
        <f>'Budget vs. Actuals'!S29</f>
        <v>0</v>
      </c>
      <c r="K20" s="22">
        <f>'Budget vs. Actuals'!U29</f>
        <v>0</v>
      </c>
      <c r="L20" s="22">
        <f>'Budget vs. Actuals'!W29</f>
        <v>0</v>
      </c>
      <c r="M20" s="22">
        <f>'Budget vs. Actuals'!Y29</f>
        <v>0</v>
      </c>
    </row>
    <row r="21" spans="1:13">
      <c r="A21" s="1" t="s">
        <v>2</v>
      </c>
      <c r="B21" s="22">
        <f>'Budget vs. Actuals'!C30</f>
        <v>0</v>
      </c>
      <c r="C21" s="22">
        <f>'Budget vs. Actuals'!E30</f>
        <v>0</v>
      </c>
      <c r="D21" s="22">
        <f>'Budget vs. Actuals'!G30</f>
        <v>0</v>
      </c>
      <c r="E21" s="22">
        <f>'Budget vs. Actuals'!I30</f>
        <v>0</v>
      </c>
      <c r="F21" s="22">
        <f>'Budget vs. Actuals'!K30</f>
        <v>0</v>
      </c>
      <c r="G21" s="22">
        <f>'Budget vs. Actuals'!M30</f>
        <v>0</v>
      </c>
      <c r="H21" s="22">
        <f>'Budget vs. Actuals'!O30</f>
        <v>0</v>
      </c>
      <c r="I21" s="22">
        <f>'Budget vs. Actuals'!Q30</f>
        <v>0</v>
      </c>
      <c r="J21" s="22">
        <f>'Budget vs. Actuals'!S30</f>
        <v>0</v>
      </c>
      <c r="K21" s="22">
        <f>'Budget vs. Actuals'!U30</f>
        <v>0</v>
      </c>
      <c r="L21" s="22">
        <f>'Budget vs. Actuals'!W30</f>
        <v>0</v>
      </c>
      <c r="M21" s="22">
        <f>'Budget vs. Actuals'!Y30</f>
        <v>0</v>
      </c>
    </row>
    <row r="22" spans="1:13">
      <c r="A22" s="1" t="s">
        <v>3</v>
      </c>
      <c r="B22" s="22">
        <f>'Budget vs. Actuals'!C31</f>
        <v>0</v>
      </c>
      <c r="C22" s="22">
        <f>'Budget vs. Actuals'!E31</f>
        <v>0</v>
      </c>
      <c r="D22" s="22">
        <f>'Budget vs. Actuals'!G31</f>
        <v>0.125</v>
      </c>
      <c r="E22" s="22">
        <f>'Budget vs. Actuals'!I31</f>
        <v>0.125</v>
      </c>
      <c r="F22" s="22">
        <f>'Budget vs. Actuals'!K31</f>
        <v>0</v>
      </c>
      <c r="G22" s="22">
        <f>'Budget vs. Actuals'!M31</f>
        <v>0</v>
      </c>
      <c r="H22" s="22">
        <f>'Budget vs. Actuals'!O31</f>
        <v>0.125</v>
      </c>
      <c r="I22" s="22">
        <f>'Budget vs. Actuals'!Q31</f>
        <v>0</v>
      </c>
      <c r="J22" s="22">
        <f>'Budget vs. Actuals'!S31</f>
        <v>0</v>
      </c>
      <c r="K22" s="22">
        <f>'Budget vs. Actuals'!U31</f>
        <v>0</v>
      </c>
      <c r="L22" s="22">
        <f>'Budget vs. Actuals'!W31</f>
        <v>0</v>
      </c>
      <c r="M22" s="22">
        <f>'Budget vs. Actuals'!Y31</f>
        <v>0</v>
      </c>
    </row>
    <row r="23" spans="1:13">
      <c r="A23" s="1" t="s">
        <v>4</v>
      </c>
      <c r="B23" s="22">
        <f>'Budget vs. Actuals'!C33</f>
        <v>0</v>
      </c>
      <c r="C23" s="22">
        <f>'Budget vs. Actuals'!E33</f>
        <v>0</v>
      </c>
      <c r="D23" s="22">
        <f>'Budget vs. Actuals'!G33</f>
        <v>0</v>
      </c>
      <c r="E23" s="22">
        <f>'Budget vs. Actuals'!I33</f>
        <v>0</v>
      </c>
      <c r="F23" s="22">
        <f>'Budget vs. Actuals'!K33</f>
        <v>0</v>
      </c>
      <c r="G23" s="22">
        <f>'Budget vs. Actuals'!M33</f>
        <v>0</v>
      </c>
      <c r="H23" s="22">
        <f>'Budget vs. Actuals'!O33</f>
        <v>0</v>
      </c>
      <c r="I23" s="22">
        <f>'Budget vs. Actuals'!Q33</f>
        <v>0</v>
      </c>
      <c r="J23" s="22">
        <f>'Budget vs. Actuals'!S33</f>
        <v>0</v>
      </c>
      <c r="K23" s="22">
        <f>'Budget vs. Actuals'!U33</f>
        <v>0</v>
      </c>
      <c r="L23" s="22">
        <f>'Budget vs. Actuals'!W33</f>
        <v>0</v>
      </c>
      <c r="M23" s="22">
        <f>'Budget vs. Actuals'!Y33</f>
        <v>0</v>
      </c>
    </row>
    <row r="24" spans="1:13">
      <c r="A24" s="1" t="s">
        <v>5</v>
      </c>
      <c r="B24" s="22">
        <f>'Budget vs. Actuals'!C34</f>
        <v>0.16022222222222221</v>
      </c>
      <c r="C24" s="22">
        <f>'Budget vs. Actuals'!E34</f>
        <v>9.7555555555555562E-2</v>
      </c>
      <c r="D24" s="22">
        <f>'Budget vs. Actuals'!G34</f>
        <v>0.11377777777777778</v>
      </c>
      <c r="E24" s="22">
        <f>'Budget vs. Actuals'!I34</f>
        <v>6.4222222222222222E-2</v>
      </c>
      <c r="F24" s="22">
        <f>'Budget vs. Actuals'!K34</f>
        <v>9.8222222222222225E-2</v>
      </c>
      <c r="G24" s="22">
        <f>'Budget vs. Actuals'!M34</f>
        <v>0.15388888888888888</v>
      </c>
      <c r="H24" s="22">
        <f>'Budget vs. Actuals'!O34</f>
        <v>0.12</v>
      </c>
      <c r="I24" s="22">
        <f>'Budget vs. Actuals'!Q34</f>
        <v>0</v>
      </c>
      <c r="J24" s="22">
        <f>'Budget vs. Actuals'!S34</f>
        <v>0</v>
      </c>
      <c r="K24" s="22">
        <f>'Budget vs. Actuals'!U34</f>
        <v>0</v>
      </c>
      <c r="L24" s="22">
        <f>'Budget vs. Actuals'!W34</f>
        <v>0</v>
      </c>
      <c r="M24" s="22">
        <f>'Budget vs. Actuals'!Y34</f>
        <v>0</v>
      </c>
    </row>
    <row r="25" spans="1:13">
      <c r="A25" s="1" t="s">
        <v>6</v>
      </c>
      <c r="B25" s="22">
        <f>'Budget vs. Actuals'!C35</f>
        <v>0.13590951932139492</v>
      </c>
      <c r="C25" s="22">
        <f>'Budget vs. Actuals'!E35</f>
        <v>8.27521206409048E-2</v>
      </c>
      <c r="D25" s="22">
        <f>'Budget vs. Actuals'!G35</f>
        <v>0.11536286522148916</v>
      </c>
      <c r="E25" s="22">
        <f>'Budget vs. Actuals'!I35</f>
        <v>7.3327049952874646E-2</v>
      </c>
      <c r="F25" s="22">
        <f>'Budget vs. Actuals'!K35</f>
        <v>8.3317624882186622E-2</v>
      </c>
      <c r="G25" s="22">
        <f>'Budget vs. Actuals'!M35</f>
        <v>0.13053722902921772</v>
      </c>
      <c r="H25" s="22">
        <f>'Budget vs. Actuals'!O35</f>
        <v>0.12064090480678605</v>
      </c>
      <c r="I25" s="22">
        <f>'Budget vs. Actuals'!Q35</f>
        <v>0</v>
      </c>
      <c r="J25" s="22">
        <f>'Budget vs. Actuals'!S35</f>
        <v>0</v>
      </c>
      <c r="K25" s="22">
        <f>'Budget vs. Actuals'!U35</f>
        <v>0</v>
      </c>
      <c r="L25" s="22">
        <f>'Budget vs. Actuals'!W35</f>
        <v>0</v>
      </c>
      <c r="M25" s="22">
        <f>'Budget vs. Actuals'!Y35</f>
        <v>0</v>
      </c>
    </row>
    <row r="26" spans="1:13">
      <c r="A26" s="1" t="s">
        <v>7</v>
      </c>
      <c r="B26" s="22">
        <f>'Budget vs. Actuals'!C36</f>
        <v>0</v>
      </c>
      <c r="C26" s="22">
        <f>'Budget vs. Actuals'!E36</f>
        <v>0</v>
      </c>
      <c r="D26" s="22">
        <f>'Budget vs. Actuals'!G36</f>
        <v>0</v>
      </c>
      <c r="E26" s="22">
        <f>'Budget vs. Actuals'!I36</f>
        <v>0</v>
      </c>
      <c r="F26" s="22">
        <f>'Budget vs. Actuals'!K36</f>
        <v>0</v>
      </c>
      <c r="G26" s="22">
        <f>'Budget vs. Actuals'!M36</f>
        <v>0</v>
      </c>
      <c r="H26" s="22">
        <f>'Budget vs. Actuals'!O36</f>
        <v>0</v>
      </c>
      <c r="I26" s="22">
        <f>'Budget vs. Actuals'!Q36</f>
        <v>0</v>
      </c>
      <c r="J26" s="22">
        <f>'Budget vs. Actuals'!S36</f>
        <v>0</v>
      </c>
      <c r="K26" s="22">
        <f>'Budget vs. Actuals'!U36</f>
        <v>0</v>
      </c>
      <c r="L26" s="22">
        <f>'Budget vs. Actuals'!W36</f>
        <v>0</v>
      </c>
      <c r="M26" s="22">
        <f>'Budget vs. Actuals'!Y36</f>
        <v>0</v>
      </c>
    </row>
    <row r="27" spans="1:13">
      <c r="A27" s="1" t="s">
        <v>8</v>
      </c>
      <c r="B27" s="22">
        <f>'Budget vs. Actuals'!C37</f>
        <v>0</v>
      </c>
      <c r="C27" s="22">
        <f>'Budget vs. Actuals'!E37</f>
        <v>3.2000000000000001E-2</v>
      </c>
      <c r="D27" s="22">
        <f>'Budget vs. Actuals'!G37</f>
        <v>0</v>
      </c>
      <c r="E27" s="22">
        <f>'Budget vs. Actuals'!I37</f>
        <v>0</v>
      </c>
      <c r="F27" s="22">
        <f>'Budget vs. Actuals'!K37</f>
        <v>3.4000000000000002E-2</v>
      </c>
      <c r="G27" s="22">
        <f>'Budget vs. Actuals'!M37</f>
        <v>0</v>
      </c>
      <c r="H27" s="22">
        <f>'Budget vs. Actuals'!O37</f>
        <v>0</v>
      </c>
      <c r="I27" s="22">
        <f>'Budget vs. Actuals'!Q37</f>
        <v>0</v>
      </c>
      <c r="J27" s="22">
        <f>'Budget vs. Actuals'!S37</f>
        <v>0</v>
      </c>
      <c r="K27" s="22">
        <f>'Budget vs. Actuals'!U37</f>
        <v>0</v>
      </c>
      <c r="L27" s="22">
        <f>'Budget vs. Actuals'!W37</f>
        <v>0</v>
      </c>
      <c r="M27" s="22">
        <f>'Budget vs. Actuals'!Y37</f>
        <v>0</v>
      </c>
    </row>
    <row r="28" spans="1:13">
      <c r="A28" s="1" t="s">
        <v>9</v>
      </c>
      <c r="B28" s="22">
        <f>'Budget vs. Actuals'!C38</f>
        <v>0</v>
      </c>
      <c r="C28" s="22">
        <f>'Budget vs. Actuals'!E38</f>
        <v>0</v>
      </c>
      <c r="D28" s="22">
        <f>'Budget vs. Actuals'!G38</f>
        <v>0.44332200000000005</v>
      </c>
      <c r="E28" s="22">
        <f>'Budget vs. Actuals'!I38</f>
        <v>0</v>
      </c>
      <c r="F28" s="22">
        <f>'Budget vs. Actuals'!K38</f>
        <v>0</v>
      </c>
      <c r="G28" s="22">
        <f>'Budget vs. Actuals'!M38</f>
        <v>-0.44332200000000005</v>
      </c>
      <c r="H28" s="22">
        <f>'Budget vs. Actuals'!O38</f>
        <v>0</v>
      </c>
      <c r="I28" s="22">
        <f>'Budget vs. Actuals'!Q38</f>
        <v>0</v>
      </c>
      <c r="J28" s="22">
        <f>'Budget vs. Actuals'!S38</f>
        <v>0</v>
      </c>
      <c r="K28" s="22">
        <f>'Budget vs. Actuals'!U38</f>
        <v>0</v>
      </c>
      <c r="L28" s="22">
        <f>'Budget vs. Actuals'!W38</f>
        <v>0</v>
      </c>
      <c r="M28" s="22">
        <f>'Budget vs. Actuals'!Y38</f>
        <v>0</v>
      </c>
    </row>
    <row r="29" spans="1:13">
      <c r="A29" s="1" t="s">
        <v>10</v>
      </c>
      <c r="B29" s="22">
        <f>'Budget vs. Actuals'!C39</f>
        <v>0</v>
      </c>
      <c r="C29" s="22">
        <f>'Budget vs. Actuals'!E39</f>
        <v>6.3872255489021962E-5</v>
      </c>
      <c r="D29" s="22">
        <f>'Budget vs. Actuals'!G39</f>
        <v>0.44243712574850302</v>
      </c>
      <c r="E29" s="22">
        <f>'Budget vs. Actuals'!I39</f>
        <v>0</v>
      </c>
      <c r="F29" s="22">
        <f>'Budget vs. Actuals'!K39</f>
        <v>6.7864271457085827E-5</v>
      </c>
      <c r="G29" s="22">
        <f>'Budget vs. Actuals'!M39</f>
        <v>-0.44243712574850302</v>
      </c>
      <c r="H29" s="22">
        <f>'Budget vs. Actuals'!O39</f>
        <v>0</v>
      </c>
      <c r="I29" s="22">
        <f>'Budget vs. Actuals'!Q39</f>
        <v>0</v>
      </c>
      <c r="J29" s="22">
        <f>'Budget vs. Actuals'!S39</f>
        <v>0</v>
      </c>
      <c r="K29" s="22">
        <f>'Budget vs. Actuals'!U39</f>
        <v>0</v>
      </c>
      <c r="L29" s="22">
        <f>'Budget vs. Actuals'!W39</f>
        <v>0</v>
      </c>
      <c r="M29" s="22">
        <f>'Budget vs. Actuals'!Y39</f>
        <v>0</v>
      </c>
    </row>
    <row r="30" spans="1:13">
      <c r="A30" s="1" t="s">
        <v>11</v>
      </c>
      <c r="B30" s="22">
        <f>'Budget vs. Actuals'!C41</f>
        <v>0.30039433708478325</v>
      </c>
      <c r="C30" s="22">
        <f>'Budget vs. Actuals'!E41</f>
        <v>0.1404948000559457</v>
      </c>
      <c r="D30" s="22">
        <f>'Budget vs. Actuals'!G41</f>
        <v>1.3266597688481842E-2</v>
      </c>
      <c r="E30" s="22">
        <f>'Budget vs. Actuals'!I41</f>
        <v>0.16163784405019191</v>
      </c>
      <c r="F30" s="22">
        <f>'Budget vs. Actuals'!K41</f>
        <v>1.0720199948715045E-2</v>
      </c>
      <c r="G30" s="22">
        <f>'Budget vs. Actuals'!M41</f>
        <v>1.1712244241819729E-2</v>
      </c>
      <c r="H30" s="22">
        <f>'Budget vs. Actuals'!O41</f>
        <v>0.13807306001011646</v>
      </c>
      <c r="I30" s="22">
        <f>'Budget vs. Actuals'!Q41</f>
        <v>0</v>
      </c>
      <c r="J30" s="22">
        <f>'Budget vs. Actuals'!S41</f>
        <v>0</v>
      </c>
      <c r="K30" s="22">
        <f>'Budget vs. Actuals'!U41</f>
        <v>0</v>
      </c>
      <c r="L30" s="22">
        <f>'Budget vs. Actuals'!W41</f>
        <v>0</v>
      </c>
      <c r="M30" s="22">
        <f>'Budget vs. Actuals'!Y41</f>
        <v>0</v>
      </c>
    </row>
    <row r="31" spans="1:13">
      <c r="A31" s="1" t="s">
        <v>12</v>
      </c>
      <c r="B31" s="22">
        <f>'Budget vs. Actuals'!C42</f>
        <v>0.30039433708478325</v>
      </c>
      <c r="C31" s="22">
        <f>'Budget vs. Actuals'!E42</f>
        <v>0.1404948000559457</v>
      </c>
      <c r="D31" s="22">
        <f>'Budget vs. Actuals'!G42</f>
        <v>1.3266597688481842E-2</v>
      </c>
      <c r="E31" s="22">
        <f>'Budget vs. Actuals'!I42</f>
        <v>0.16163784405019191</v>
      </c>
      <c r="F31" s="22">
        <f>'Budget vs. Actuals'!K42</f>
        <v>1.0720199948715045E-2</v>
      </c>
      <c r="G31" s="22">
        <f>'Budget vs. Actuals'!M42</f>
        <v>1.1712244241819729E-2</v>
      </c>
      <c r="H31" s="22">
        <f>'Budget vs. Actuals'!O42</f>
        <v>0.13807306001011646</v>
      </c>
      <c r="I31" s="22">
        <f>'Budget vs. Actuals'!Q42</f>
        <v>0</v>
      </c>
      <c r="J31" s="22">
        <f>'Budget vs. Actuals'!S42</f>
        <v>0</v>
      </c>
      <c r="K31" s="22">
        <f>'Budget vs. Actuals'!U42</f>
        <v>0</v>
      </c>
      <c r="L31" s="22">
        <f>'Budget vs. Actuals'!W42</f>
        <v>0</v>
      </c>
      <c r="M31" s="22">
        <f>'Budget vs. Actuals'!Y42</f>
        <v>0</v>
      </c>
    </row>
    <row r="32" spans="1:13">
      <c r="A32" s="1" t="s">
        <v>13</v>
      </c>
      <c r="B32" s="22">
        <f>'Budget vs. Actuals'!C43</f>
        <v>0</v>
      </c>
      <c r="C32" s="22">
        <f>'Budget vs. Actuals'!E43</f>
        <v>0</v>
      </c>
      <c r="D32" s="22">
        <f>'Budget vs. Actuals'!G43</f>
        <v>0</v>
      </c>
      <c r="E32" s="22">
        <f>'Budget vs. Actuals'!I43</f>
        <v>0</v>
      </c>
      <c r="F32" s="22">
        <f>'Budget vs. Actuals'!K43</f>
        <v>0</v>
      </c>
      <c r="G32" s="22">
        <f>'Budget vs. Actuals'!M43</f>
        <v>0</v>
      </c>
      <c r="H32" s="22">
        <f>'Budget vs. Actuals'!O43</f>
        <v>0</v>
      </c>
      <c r="I32" s="22">
        <f>'Budget vs. Actuals'!Q43</f>
        <v>0</v>
      </c>
      <c r="J32" s="22">
        <f>'Budget vs. Actuals'!S43</f>
        <v>0</v>
      </c>
      <c r="K32" s="22">
        <f>'Budget vs. Actuals'!U43</f>
        <v>0</v>
      </c>
      <c r="L32" s="22">
        <f>'Budget vs. Actuals'!W43</f>
        <v>0</v>
      </c>
      <c r="M32" s="22">
        <f>'Budget vs. Actuals'!Y43</f>
        <v>0</v>
      </c>
    </row>
    <row r="33" spans="1:13">
      <c r="A33" s="1" t="s">
        <v>14</v>
      </c>
      <c r="B33" s="22">
        <f>'Budget vs. Actuals'!C44</f>
        <v>0</v>
      </c>
      <c r="C33" s="22">
        <f>'Budget vs. Actuals'!E44</f>
        <v>0</v>
      </c>
      <c r="D33" s="22">
        <f>'Budget vs. Actuals'!G44</f>
        <v>0</v>
      </c>
      <c r="E33" s="22">
        <f>'Budget vs. Actuals'!I44</f>
        <v>0</v>
      </c>
      <c r="F33" s="22">
        <f>'Budget vs. Actuals'!K44</f>
        <v>0</v>
      </c>
      <c r="G33" s="22">
        <f>'Budget vs. Actuals'!M44</f>
        <v>0</v>
      </c>
      <c r="H33" s="22">
        <f>'Budget vs. Actuals'!O44</f>
        <v>0</v>
      </c>
      <c r="I33" s="22">
        <f>'Budget vs. Actuals'!Q44</f>
        <v>0</v>
      </c>
      <c r="J33" s="22">
        <f>'Budget vs. Actuals'!S44</f>
        <v>0</v>
      </c>
      <c r="K33" s="22">
        <f>'Budget vs. Actuals'!U44</f>
        <v>0</v>
      </c>
      <c r="L33" s="22">
        <f>'Budget vs. Actuals'!W44</f>
        <v>0</v>
      </c>
      <c r="M33" s="22">
        <f>'Budget vs. Actuals'!Y44</f>
        <v>0</v>
      </c>
    </row>
    <row r="34" spans="1:13">
      <c r="A34" s="1" t="s">
        <v>15</v>
      </c>
      <c r="B34" s="22">
        <f>'Budget vs. Actuals'!C45</f>
        <v>8.3333333333333329E-2</v>
      </c>
      <c r="C34" s="22">
        <f>'Budget vs. Actuals'!E45</f>
        <v>0.16666666666666666</v>
      </c>
      <c r="D34" s="22">
        <f>'Budget vs. Actuals'!G45</f>
        <v>0</v>
      </c>
      <c r="E34" s="22">
        <f>'Budget vs. Actuals'!I45</f>
        <v>8.3333333333333329E-2</v>
      </c>
      <c r="F34" s="22">
        <f>'Budget vs. Actuals'!K45</f>
        <v>8.3333333333333329E-2</v>
      </c>
      <c r="G34" s="22">
        <f>'Budget vs. Actuals'!M45</f>
        <v>0.16666666666666666</v>
      </c>
      <c r="H34" s="22">
        <f>'Budget vs. Actuals'!O45</f>
        <v>8.3333333333333329E-2</v>
      </c>
      <c r="I34" s="22">
        <f>'Budget vs. Actuals'!Q45</f>
        <v>0</v>
      </c>
      <c r="J34" s="22">
        <f>'Budget vs. Actuals'!S45</f>
        <v>0</v>
      </c>
      <c r="K34" s="22">
        <f>'Budget vs. Actuals'!U45</f>
        <v>0</v>
      </c>
      <c r="L34" s="22">
        <f>'Budget vs. Actuals'!W45</f>
        <v>0</v>
      </c>
      <c r="M34" s="22">
        <f>'Budget vs. Actuals'!Y45</f>
        <v>0</v>
      </c>
    </row>
    <row r="35" spans="1:13">
      <c r="A35" s="1" t="s">
        <v>16</v>
      </c>
      <c r="B35" s="22">
        <f>'Budget vs. Actuals'!C47</f>
        <v>0</v>
      </c>
      <c r="C35" s="22">
        <f>'Budget vs. Actuals'!E47</f>
        <v>0.77579999999999993</v>
      </c>
      <c r="D35" s="22">
        <f>'Budget vs. Actuals'!G47</f>
        <v>0</v>
      </c>
      <c r="E35" s="22">
        <f>'Budget vs. Actuals'!I47</f>
        <v>8.7799999999999989E-2</v>
      </c>
      <c r="F35" s="22">
        <f>'Budget vs. Actuals'!K47</f>
        <v>0</v>
      </c>
      <c r="G35" s="22">
        <f>'Budget vs. Actuals'!M47</f>
        <v>0</v>
      </c>
      <c r="H35" s="22">
        <f>'Budget vs. Actuals'!O47</f>
        <v>0</v>
      </c>
      <c r="I35" s="22">
        <f>'Budget vs. Actuals'!Q47</f>
        <v>0</v>
      </c>
      <c r="J35" s="22">
        <f>'Budget vs. Actuals'!S47</f>
        <v>0</v>
      </c>
      <c r="K35" s="22">
        <f>'Budget vs. Actuals'!U47</f>
        <v>0</v>
      </c>
      <c r="L35" s="22">
        <f>'Budget vs. Actuals'!W47</f>
        <v>0</v>
      </c>
      <c r="M35" s="22">
        <f>'Budget vs. Actuals'!Y47</f>
        <v>0</v>
      </c>
    </row>
    <row r="36" spans="1:13">
      <c r="A36" s="1" t="s">
        <v>17</v>
      </c>
      <c r="B36" s="22">
        <f>'Budget vs. Actuals'!C48</f>
        <v>0</v>
      </c>
      <c r="C36" s="22">
        <f>'Budget vs. Actuals'!E48</f>
        <v>7.5663999999999995E-2</v>
      </c>
      <c r="D36" s="22">
        <f>'Budget vs. Actuals'!G48</f>
        <v>0</v>
      </c>
      <c r="E36" s="22">
        <f>'Budget vs. Actuals'!I48</f>
        <v>0</v>
      </c>
      <c r="F36" s="22">
        <f>'Budget vs. Actuals'!K48</f>
        <v>0</v>
      </c>
      <c r="G36" s="22">
        <f>'Budget vs. Actuals'!M48</f>
        <v>0.1</v>
      </c>
      <c r="H36" s="22">
        <f>'Budget vs. Actuals'!O48</f>
        <v>0</v>
      </c>
      <c r="I36" s="22">
        <f>'Budget vs. Actuals'!Q48</f>
        <v>0</v>
      </c>
      <c r="J36" s="22">
        <f>'Budget vs. Actuals'!S48</f>
        <v>0</v>
      </c>
      <c r="K36" s="22">
        <f>'Budget vs. Actuals'!U48</f>
        <v>0</v>
      </c>
      <c r="L36" s="22">
        <f>'Budget vs. Actuals'!W48</f>
        <v>0</v>
      </c>
      <c r="M36" s="22">
        <f>'Budget vs. Actuals'!Y48</f>
        <v>0</v>
      </c>
    </row>
    <row r="37" spans="1:13">
      <c r="A37" s="1" t="s">
        <v>18</v>
      </c>
      <c r="B37" s="22">
        <f>'Budget vs. Actuals'!C49</f>
        <v>0</v>
      </c>
      <c r="C37" s="22">
        <f>'Budget vs. Actuals'!E49</f>
        <v>0.64749999999999996</v>
      </c>
      <c r="D37" s="22">
        <f>'Budget vs. Actuals'!G49</f>
        <v>-0.29847777777777779</v>
      </c>
      <c r="E37" s="22">
        <f>'Budget vs. Actuals'!I49</f>
        <v>0</v>
      </c>
      <c r="F37" s="22">
        <f>'Budget vs. Actuals'!K49</f>
        <v>0</v>
      </c>
      <c r="G37" s="22">
        <f>'Budget vs. Actuals'!M49</f>
        <v>0.46638888888888891</v>
      </c>
      <c r="H37" s="22">
        <f>'Budget vs. Actuals'!O49</f>
        <v>0</v>
      </c>
      <c r="I37" s="22">
        <f>'Budget vs. Actuals'!Q49</f>
        <v>0</v>
      </c>
      <c r="J37" s="22">
        <f>'Budget vs. Actuals'!S49</f>
        <v>0</v>
      </c>
      <c r="K37" s="22">
        <f>'Budget vs. Actuals'!U49</f>
        <v>0</v>
      </c>
      <c r="L37" s="22">
        <f>'Budget vs. Actuals'!W49</f>
        <v>0</v>
      </c>
      <c r="M37" s="22">
        <f>'Budget vs. Actuals'!Y49</f>
        <v>0</v>
      </c>
    </row>
    <row r="38" spans="1:13">
      <c r="A38" s="1" t="s">
        <v>19</v>
      </c>
      <c r="B38" s="22">
        <f>'Budget vs. Actuals'!C50</f>
        <v>5.1423602484472045E-2</v>
      </c>
      <c r="C38" s="22">
        <f>'Budget vs. Actuals'!E50</f>
        <v>0.93215031055900621</v>
      </c>
      <c r="D38" s="22">
        <f>'Budget vs. Actuals'!G50</f>
        <v>1.4682608695652173E-2</v>
      </c>
      <c r="E38" s="22">
        <f>'Budget vs. Actuals'!I50</f>
        <v>0</v>
      </c>
      <c r="F38" s="22">
        <f>'Budget vs. Actuals'!K50</f>
        <v>0</v>
      </c>
      <c r="G38" s="22">
        <f>'Budget vs. Actuals'!M50</f>
        <v>0</v>
      </c>
      <c r="H38" s="22">
        <f>'Budget vs. Actuals'!O50</f>
        <v>0</v>
      </c>
      <c r="I38" s="22">
        <f>'Budget vs. Actuals'!Q50</f>
        <v>0</v>
      </c>
      <c r="J38" s="22">
        <f>'Budget vs. Actuals'!S50</f>
        <v>0</v>
      </c>
      <c r="K38" s="22">
        <f>'Budget vs. Actuals'!U50</f>
        <v>0</v>
      </c>
      <c r="L38" s="22">
        <f>'Budget vs. Actuals'!W50</f>
        <v>0</v>
      </c>
      <c r="M38" s="22">
        <f>'Budget vs. Actuals'!Y50</f>
        <v>0</v>
      </c>
    </row>
    <row r="39" spans="1:13">
      <c r="A39" s="1" t="s">
        <v>20</v>
      </c>
      <c r="B39" s="22">
        <f>'Budget vs. Actuals'!C51</f>
        <v>0</v>
      </c>
      <c r="C39" s="22">
        <f>'Budget vs. Actuals'!E51</f>
        <v>0</v>
      </c>
      <c r="D39" s="22">
        <f>'Budget vs. Actuals'!G51</f>
        <v>0</v>
      </c>
      <c r="E39" s="22">
        <f>'Budget vs. Actuals'!I51</f>
        <v>0</v>
      </c>
      <c r="F39" s="22">
        <f>'Budget vs. Actuals'!K51</f>
        <v>0</v>
      </c>
      <c r="G39" s="22">
        <f>'Budget vs. Actuals'!M51</f>
        <v>0</v>
      </c>
      <c r="H39" s="22">
        <f>'Budget vs. Actuals'!O51</f>
        <v>0</v>
      </c>
      <c r="I39" s="22">
        <f>'Budget vs. Actuals'!Q51</f>
        <v>0</v>
      </c>
      <c r="J39" s="22">
        <f>'Budget vs. Actuals'!S51</f>
        <v>0</v>
      </c>
      <c r="K39" s="22">
        <f>'Budget vs. Actuals'!U51</f>
        <v>0</v>
      </c>
      <c r="L39" s="22">
        <f>'Budget vs. Actuals'!W51</f>
        <v>0</v>
      </c>
      <c r="M39" s="22">
        <f>'Budget vs. Actuals'!Y51</f>
        <v>0</v>
      </c>
    </row>
    <row r="40" spans="1:13">
      <c r="A40" s="1" t="s">
        <v>21</v>
      </c>
      <c r="B40" s="22">
        <f>'Budget vs. Actuals'!C52</f>
        <v>8.3333333333333329E-2</v>
      </c>
      <c r="C40" s="22">
        <f>'Budget vs. Actuals'!E52</f>
        <v>0.16666666666666666</v>
      </c>
      <c r="D40" s="22">
        <f>'Budget vs. Actuals'!G52</f>
        <v>0</v>
      </c>
      <c r="E40" s="22">
        <f>'Budget vs. Actuals'!I52</f>
        <v>8.3333333333333329E-2</v>
      </c>
      <c r="F40" s="22">
        <f>'Budget vs. Actuals'!K52</f>
        <v>8.3333333333333329E-2</v>
      </c>
      <c r="G40" s="22">
        <f>'Budget vs. Actuals'!M52</f>
        <v>0.16666666666666666</v>
      </c>
      <c r="H40" s="22">
        <f>'Budget vs. Actuals'!O52</f>
        <v>8.3333333333333329E-2</v>
      </c>
      <c r="I40" s="22">
        <f>'Budget vs. Actuals'!Q52</f>
        <v>0</v>
      </c>
      <c r="J40" s="22">
        <f>'Budget vs. Actuals'!S52</f>
        <v>0</v>
      </c>
      <c r="K40" s="22">
        <f>'Budget vs. Actuals'!U52</f>
        <v>0</v>
      </c>
      <c r="L40" s="22">
        <f>'Budget vs. Actuals'!W52</f>
        <v>0</v>
      </c>
      <c r="M40" s="22">
        <f>'Budget vs. Actuals'!Y52</f>
        <v>0</v>
      </c>
    </row>
    <row r="41" spans="1:13">
      <c r="A41" s="1" t="s">
        <v>22</v>
      </c>
      <c r="B41" s="22">
        <f>'Budget vs. Actuals'!C53</f>
        <v>0.30489230769230768</v>
      </c>
      <c r="C41" s="22">
        <f>'Budget vs. Actuals'!E53</f>
        <v>6.2923076923076915E-2</v>
      </c>
      <c r="D41" s="22">
        <f>'Budget vs. Actuals'!G53</f>
        <v>0.26156153846153846</v>
      </c>
      <c r="E41" s="22">
        <f>'Budget vs. Actuals'!I53</f>
        <v>3.2953846153846153E-2</v>
      </c>
      <c r="F41" s="22">
        <f>'Budget vs. Actuals'!K53</f>
        <v>0.13572307692307692</v>
      </c>
      <c r="G41" s="22">
        <f>'Budget vs. Actuals'!M53</f>
        <v>0.12103846153846154</v>
      </c>
      <c r="H41" s="22">
        <f>'Budget vs. Actuals'!O53</f>
        <v>4.2053846153846157E-2</v>
      </c>
      <c r="I41" s="22">
        <f>'Budget vs. Actuals'!Q53</f>
        <v>0</v>
      </c>
      <c r="J41" s="22">
        <f>'Budget vs. Actuals'!S53</f>
        <v>0</v>
      </c>
      <c r="K41" s="22">
        <f>'Budget vs. Actuals'!U53</f>
        <v>0</v>
      </c>
      <c r="L41" s="22">
        <f>'Budget vs. Actuals'!W53</f>
        <v>0</v>
      </c>
      <c r="M41" s="22">
        <f>'Budget vs. Actuals'!Y53</f>
        <v>0</v>
      </c>
    </row>
    <row r="42" spans="1:13">
      <c r="A42" s="1" t="s">
        <v>23</v>
      </c>
      <c r="B42" s="22">
        <f>'Budget vs. Actuals'!C54</f>
        <v>0.53500000000000003</v>
      </c>
      <c r="C42" s="22">
        <f>'Budget vs. Actuals'!E54</f>
        <v>7.4499999999999997E-2</v>
      </c>
      <c r="D42" s="22">
        <f>'Budget vs. Actuals'!G54</f>
        <v>6.0049999999999999E-2</v>
      </c>
      <c r="E42" s="22">
        <f>'Budget vs. Actuals'!I54</f>
        <v>0.125</v>
      </c>
      <c r="F42" s="22">
        <f>'Budget vs. Actuals'!K54</f>
        <v>2.8750000000000001E-2</v>
      </c>
      <c r="G42" s="22">
        <f>'Budget vs. Actuals'!M54</f>
        <v>0.29742499999999999</v>
      </c>
      <c r="H42" s="22">
        <f>'Budget vs. Actuals'!O54</f>
        <v>0</v>
      </c>
      <c r="I42" s="22">
        <f>'Budget vs. Actuals'!Q54</f>
        <v>0</v>
      </c>
      <c r="J42" s="22">
        <f>'Budget vs. Actuals'!S54</f>
        <v>0</v>
      </c>
      <c r="K42" s="22">
        <f>'Budget vs. Actuals'!U54</f>
        <v>0</v>
      </c>
      <c r="L42" s="22">
        <f>'Budget vs. Actuals'!W54</f>
        <v>0</v>
      </c>
      <c r="M42" s="22">
        <f>'Budget vs. Actuals'!Y54</f>
        <v>0</v>
      </c>
    </row>
    <row r="43" spans="1:13">
      <c r="A43" s="1" t="s">
        <v>24</v>
      </c>
      <c r="B43" s="22">
        <f>'Budget vs. Actuals'!C55</f>
        <v>0</v>
      </c>
      <c r="C43" s="22">
        <f>'Budget vs. Actuals'!E55</f>
        <v>0.4</v>
      </c>
      <c r="D43" s="22">
        <f>'Budget vs. Actuals'!G55</f>
        <v>0</v>
      </c>
      <c r="E43" s="22">
        <f>'Budget vs. Actuals'!I55</f>
        <v>0</v>
      </c>
      <c r="F43" s="22">
        <f>'Budget vs. Actuals'!K55</f>
        <v>0</v>
      </c>
      <c r="G43" s="22">
        <f>'Budget vs. Actuals'!M55</f>
        <v>0</v>
      </c>
      <c r="H43" s="22">
        <f>'Budget vs. Actuals'!O55</f>
        <v>0</v>
      </c>
      <c r="I43" s="22">
        <f>'Budget vs. Actuals'!Q55</f>
        <v>0</v>
      </c>
      <c r="J43" s="22">
        <f>'Budget vs. Actuals'!S55</f>
        <v>0</v>
      </c>
      <c r="K43" s="22">
        <f>'Budget vs. Actuals'!U55</f>
        <v>0</v>
      </c>
      <c r="L43" s="22">
        <f>'Budget vs. Actuals'!W55</f>
        <v>0</v>
      </c>
      <c r="M43" s="22">
        <f>'Budget vs. Actuals'!Y55</f>
        <v>0</v>
      </c>
    </row>
    <row r="44" spans="1:13">
      <c r="A44" s="1" t="s">
        <v>25</v>
      </c>
      <c r="B44" s="22">
        <f>'Budget vs. Actuals'!C56</f>
        <v>8.3333333333333329E-2</v>
      </c>
      <c r="C44" s="22">
        <f>'Budget vs. Actuals'!E56</f>
        <v>0.16666666666666666</v>
      </c>
      <c r="D44" s="22">
        <f>'Budget vs. Actuals'!G56</f>
        <v>0</v>
      </c>
      <c r="E44" s="22">
        <f>'Budget vs. Actuals'!I56</f>
        <v>8.3333333333333329E-2</v>
      </c>
      <c r="F44" s="22">
        <f>'Budget vs. Actuals'!K56</f>
        <v>8.3333333333333329E-2</v>
      </c>
      <c r="G44" s="22">
        <f>'Budget vs. Actuals'!M56</f>
        <v>0.16666666666666666</v>
      </c>
      <c r="H44" s="22">
        <f>'Budget vs. Actuals'!O56</f>
        <v>8.3333333333333329E-2</v>
      </c>
      <c r="I44" s="22">
        <f>'Budget vs. Actuals'!Q56</f>
        <v>0</v>
      </c>
      <c r="J44" s="22">
        <f>'Budget vs. Actuals'!S56</f>
        <v>0</v>
      </c>
      <c r="K44" s="22">
        <f>'Budget vs. Actuals'!U56</f>
        <v>0</v>
      </c>
      <c r="L44" s="22">
        <f>'Budget vs. Actuals'!W56</f>
        <v>0</v>
      </c>
      <c r="M44" s="22">
        <f>'Budget vs. Actuals'!Y56</f>
        <v>0</v>
      </c>
    </row>
    <row r="45" spans="1:13">
      <c r="A45" s="1" t="s">
        <v>26</v>
      </c>
      <c r="B45" s="22">
        <f>'Budget vs. Actuals'!C57</f>
        <v>6.2373333333333336E-2</v>
      </c>
      <c r="C45" s="22">
        <f>'Budget vs. Actuals'!E57</f>
        <v>0.12321333333333333</v>
      </c>
      <c r="D45" s="22">
        <f>'Budget vs. Actuals'!G57</f>
        <v>9.0663333333333332E-2</v>
      </c>
      <c r="E45" s="22">
        <f>'Budget vs. Actuals'!I57</f>
        <v>9.5933333333333343E-2</v>
      </c>
      <c r="F45" s="22">
        <f>'Budget vs. Actuals'!K57</f>
        <v>9.5693333333333325E-2</v>
      </c>
      <c r="G45" s="22">
        <f>'Budget vs. Actuals'!M57</f>
        <v>0.14976</v>
      </c>
      <c r="H45" s="22">
        <f>'Budget vs. Actuals'!O57</f>
        <v>0.14172666666666667</v>
      </c>
      <c r="I45" s="22">
        <f>'Budget vs. Actuals'!Q57</f>
        <v>0</v>
      </c>
      <c r="J45" s="22">
        <f>'Budget vs. Actuals'!S57</f>
        <v>0</v>
      </c>
      <c r="K45" s="22">
        <f>'Budget vs. Actuals'!U57</f>
        <v>0</v>
      </c>
      <c r="L45" s="22">
        <f>'Budget vs. Actuals'!W57</f>
        <v>0</v>
      </c>
      <c r="M45" s="22">
        <f>'Budget vs. Actuals'!Y57</f>
        <v>0</v>
      </c>
    </row>
    <row r="46" spans="1:13">
      <c r="A46" s="1" t="s">
        <v>27</v>
      </c>
      <c r="B46" s="22">
        <f>'Budget vs. Actuals'!C58</f>
        <v>0.15278037037037037</v>
      </c>
      <c r="C46" s="22">
        <f>'Budget vs. Actuals'!E58</f>
        <v>0.15278037037037037</v>
      </c>
      <c r="D46" s="22">
        <f>'Budget vs. Actuals'!G58</f>
        <v>0.125</v>
      </c>
      <c r="E46" s="22">
        <f>'Budget vs. Actuals'!I58</f>
        <v>4.1666666666666664E-2</v>
      </c>
      <c r="F46" s="22">
        <f>'Budget vs. Actuals'!K58</f>
        <v>8.3333333333333329E-2</v>
      </c>
      <c r="G46" s="22">
        <f>'Budget vs. Actuals'!M58</f>
        <v>0.125</v>
      </c>
      <c r="H46" s="22">
        <f>'Budget vs. Actuals'!O58</f>
        <v>4.1666666666666664E-2</v>
      </c>
      <c r="I46" s="22">
        <f>'Budget vs. Actuals'!Q58</f>
        <v>0</v>
      </c>
      <c r="J46" s="22">
        <f>'Budget vs. Actuals'!S58</f>
        <v>0</v>
      </c>
      <c r="K46" s="22">
        <f>'Budget vs. Actuals'!U58</f>
        <v>0</v>
      </c>
      <c r="L46" s="22">
        <f>'Budget vs. Actuals'!W58</f>
        <v>0</v>
      </c>
      <c r="M46" s="22">
        <f>'Budget vs. Actuals'!Y58</f>
        <v>0</v>
      </c>
    </row>
    <row r="47" spans="1:13">
      <c r="A47" s="1" t="s">
        <v>28</v>
      </c>
      <c r="B47" s="22">
        <f>'Budget vs. Actuals'!C59</f>
        <v>8.3333150684931509E-2</v>
      </c>
      <c r="C47" s="22">
        <f>'Budget vs. Actuals'!E59</f>
        <v>0.10045643835616438</v>
      </c>
      <c r="D47" s="22">
        <f>'Budget vs. Actuals'!G59</f>
        <v>0.10787643835616438</v>
      </c>
      <c r="E47" s="22">
        <f>'Budget vs. Actuals'!I59</f>
        <v>5.878986301369863E-2</v>
      </c>
      <c r="F47" s="22">
        <f>'Budget vs. Actuals'!K59</f>
        <v>8.3333150684931509E-2</v>
      </c>
      <c r="G47" s="22">
        <f>'Budget vs. Actuals'!M59</f>
        <v>0.10787643835616438</v>
      </c>
      <c r="H47" s="22">
        <f>'Budget vs. Actuals'!O59</f>
        <v>4.1666575342465755E-2</v>
      </c>
      <c r="I47" s="22">
        <f>'Budget vs. Actuals'!Q59</f>
        <v>0</v>
      </c>
      <c r="J47" s="22">
        <f>'Budget vs. Actuals'!S59</f>
        <v>0</v>
      </c>
      <c r="K47" s="22">
        <f>'Budget vs. Actuals'!U59</f>
        <v>0</v>
      </c>
      <c r="L47" s="22">
        <f>'Budget vs. Actuals'!W59</f>
        <v>0</v>
      </c>
      <c r="M47" s="22">
        <f>'Budget vs. Actuals'!Y59</f>
        <v>0</v>
      </c>
    </row>
    <row r="48" spans="1:13">
      <c r="A48" s="1" t="s">
        <v>29</v>
      </c>
      <c r="B48" s="22">
        <f>'Budget vs. Actuals'!C60</f>
        <v>0</v>
      </c>
      <c r="C48" s="22">
        <f>'Budget vs. Actuals'!E60</f>
        <v>0</v>
      </c>
      <c r="D48" s="22">
        <f>'Budget vs. Actuals'!G60</f>
        <v>0.3</v>
      </c>
      <c r="E48" s="22">
        <f>'Budget vs. Actuals'!I60</f>
        <v>0</v>
      </c>
      <c r="F48" s="22">
        <f>'Budget vs. Actuals'!K60</f>
        <v>0.51070000000000004</v>
      </c>
      <c r="G48" s="22">
        <f>'Budget vs. Actuals'!M60</f>
        <v>0.13</v>
      </c>
      <c r="H48" s="22">
        <f>'Budget vs. Actuals'!O60</f>
        <v>0</v>
      </c>
      <c r="I48" s="22">
        <f>'Budget vs. Actuals'!Q60</f>
        <v>0</v>
      </c>
      <c r="J48" s="22">
        <f>'Budget vs. Actuals'!S60</f>
        <v>0</v>
      </c>
      <c r="K48" s="22">
        <f>'Budget vs. Actuals'!U60</f>
        <v>0</v>
      </c>
      <c r="L48" s="22">
        <f>'Budget vs. Actuals'!W60</f>
        <v>0</v>
      </c>
      <c r="M48" s="22">
        <f>'Budget vs. Actuals'!Y60</f>
        <v>0</v>
      </c>
    </row>
    <row r="49" spans="1:13">
      <c r="A49" s="1" t="s">
        <v>30</v>
      </c>
      <c r="B49" s="22">
        <f>'Budget vs. Actuals'!C61</f>
        <v>8.9685240675804898E-2</v>
      </c>
      <c r="C49" s="22">
        <f>'Budget vs. Actuals'!E61</f>
        <v>0.23506681542875357</v>
      </c>
      <c r="D49" s="22">
        <f>'Budget vs. Actuals'!G61</f>
        <v>4.5523748804590369E-2</v>
      </c>
      <c r="E49" s="22">
        <f>'Budget vs. Actuals'!I61</f>
        <v>5.7134778450749123E-2</v>
      </c>
      <c r="F49" s="22">
        <f>'Budget vs. Actuals'!K61</f>
        <v>7.072202741472744E-2</v>
      </c>
      <c r="G49" s="22">
        <f>'Budget vs. Actuals'!M61</f>
        <v>0.1324838380618425</v>
      </c>
      <c r="H49" s="22">
        <f>'Budget vs. Actuals'!O61</f>
        <v>5.355868664328977E-2</v>
      </c>
      <c r="I49" s="22">
        <f>'Budget vs. Actuals'!Q61</f>
        <v>0</v>
      </c>
      <c r="J49" s="22">
        <f>'Budget vs. Actuals'!S61</f>
        <v>0</v>
      </c>
      <c r="K49" s="22">
        <f>'Budget vs. Actuals'!U61</f>
        <v>0</v>
      </c>
      <c r="L49" s="22">
        <f>'Budget vs. Actuals'!W61</f>
        <v>0</v>
      </c>
      <c r="M49" s="22">
        <f>'Budget vs. Actuals'!Y61</f>
        <v>0</v>
      </c>
    </row>
    <row r="50" spans="1:13">
      <c r="A50" s="1" t="s">
        <v>31</v>
      </c>
      <c r="B50" s="22">
        <f>'Budget vs. Actuals'!C62</f>
        <v>0</v>
      </c>
      <c r="C50" s="22">
        <f>'Budget vs. Actuals'!E62</f>
        <v>0</v>
      </c>
      <c r="D50" s="22">
        <f>'Budget vs. Actuals'!G62</f>
        <v>0</v>
      </c>
      <c r="E50" s="22">
        <f>'Budget vs. Actuals'!I62</f>
        <v>0</v>
      </c>
      <c r="F50" s="22">
        <f>'Budget vs. Actuals'!K62</f>
        <v>0</v>
      </c>
      <c r="G50" s="22">
        <f>'Budget vs. Actuals'!M62</f>
        <v>0</v>
      </c>
      <c r="H50" s="22">
        <f>'Budget vs. Actuals'!O62</f>
        <v>0</v>
      </c>
      <c r="I50" s="22">
        <f>'Budget vs. Actuals'!Q62</f>
        <v>0</v>
      </c>
      <c r="J50" s="22">
        <f>'Budget vs. Actuals'!S62</f>
        <v>0</v>
      </c>
      <c r="K50" s="22">
        <f>'Budget vs. Actuals'!U62</f>
        <v>0</v>
      </c>
      <c r="L50" s="22">
        <f>'Budget vs. Actuals'!W62</f>
        <v>0</v>
      </c>
      <c r="M50" s="22">
        <f>'Budget vs. Actuals'!Y62</f>
        <v>0</v>
      </c>
    </row>
    <row r="51" spans="1:13">
      <c r="A51" s="1" t="s">
        <v>32</v>
      </c>
      <c r="B51" s="22">
        <f>'Budget vs. Actuals'!C63</f>
        <v>0</v>
      </c>
      <c r="C51" s="22">
        <f>'Budget vs. Actuals'!E63</f>
        <v>0</v>
      </c>
      <c r="D51" s="22">
        <f>'Budget vs. Actuals'!G63</f>
        <v>0</v>
      </c>
      <c r="E51" s="22">
        <f>'Budget vs. Actuals'!I63</f>
        <v>0</v>
      </c>
      <c r="F51" s="22">
        <f>'Budget vs. Actuals'!K63</f>
        <v>0</v>
      </c>
      <c r="G51" s="22">
        <f>'Budget vs. Actuals'!M63</f>
        <v>0</v>
      </c>
      <c r="H51" s="22">
        <f>'Budget vs. Actuals'!O63</f>
        <v>0</v>
      </c>
      <c r="I51" s="22">
        <f>'Budget vs. Actuals'!Q63</f>
        <v>0</v>
      </c>
      <c r="J51" s="22">
        <f>'Budget vs. Actuals'!S63</f>
        <v>0</v>
      </c>
      <c r="K51" s="22">
        <f>'Budget vs. Actuals'!U63</f>
        <v>0</v>
      </c>
      <c r="L51" s="22">
        <f>'Budget vs. Actuals'!W63</f>
        <v>0</v>
      </c>
      <c r="M51" s="22">
        <f>'Budget vs. Actuals'!Y63</f>
        <v>0</v>
      </c>
    </row>
    <row r="52" spans="1:13">
      <c r="A52" s="1" t="s">
        <v>33</v>
      </c>
      <c r="B52" s="22">
        <f>'Budget vs. Actuals'!C64</f>
        <v>0</v>
      </c>
      <c r="C52" s="22">
        <f>'Budget vs. Actuals'!E64</f>
        <v>0</v>
      </c>
      <c r="D52" s="22">
        <f>'Budget vs. Actuals'!G64</f>
        <v>0.29932199999999998</v>
      </c>
      <c r="E52" s="22">
        <f>'Budget vs. Actuals'!I64</f>
        <v>0.3</v>
      </c>
      <c r="F52" s="22">
        <f>'Budget vs. Actuals'!K64</f>
        <v>0.41106800000000004</v>
      </c>
      <c r="G52" s="22">
        <f>'Budget vs. Actuals'!M64</f>
        <v>0</v>
      </c>
      <c r="H52" s="22">
        <f>'Budget vs. Actuals'!O64</f>
        <v>0</v>
      </c>
      <c r="I52" s="22">
        <f>'Budget vs. Actuals'!Q64</f>
        <v>0</v>
      </c>
      <c r="J52" s="22">
        <f>'Budget vs. Actuals'!S64</f>
        <v>0</v>
      </c>
      <c r="K52" s="22">
        <f>'Budget vs. Actuals'!U64</f>
        <v>0</v>
      </c>
      <c r="L52" s="22">
        <f>'Budget vs. Actuals'!W64</f>
        <v>0</v>
      </c>
      <c r="M52" s="22">
        <f>'Budget vs. Actuals'!Y64</f>
        <v>0</v>
      </c>
    </row>
    <row r="53" spans="1:13">
      <c r="A53" s="1" t="s">
        <v>34</v>
      </c>
      <c r="B53" s="22">
        <f>'Budget vs. Actuals'!C66</f>
        <v>0</v>
      </c>
      <c r="C53" s="22">
        <f>'Budget vs. Actuals'!E66</f>
        <v>0</v>
      </c>
      <c r="D53" s="22">
        <f>'Budget vs. Actuals'!G66</f>
        <v>0</v>
      </c>
      <c r="E53" s="22">
        <f>'Budget vs. Actuals'!I66</f>
        <v>0</v>
      </c>
      <c r="F53" s="22">
        <f>'Budget vs. Actuals'!K66</f>
        <v>0</v>
      </c>
      <c r="G53" s="22">
        <f>'Budget vs. Actuals'!M66</f>
        <v>0</v>
      </c>
      <c r="H53" s="22">
        <f>'Budget vs. Actuals'!O66</f>
        <v>0</v>
      </c>
      <c r="I53" s="22">
        <f>'Budget vs. Actuals'!Q66</f>
        <v>0</v>
      </c>
      <c r="J53" s="22">
        <f>'Budget vs. Actuals'!S66</f>
        <v>0</v>
      </c>
      <c r="K53" s="22">
        <f>'Budget vs. Actuals'!U66</f>
        <v>0</v>
      </c>
      <c r="L53" s="22">
        <f>'Budget vs. Actuals'!W66</f>
        <v>0</v>
      </c>
      <c r="M53" s="22">
        <f>'Budget vs. Actuals'!Y66</f>
        <v>0</v>
      </c>
    </row>
    <row r="54" spans="1:13">
      <c r="A54" s="1" t="s">
        <v>35</v>
      </c>
      <c r="B54" s="22">
        <f>'Budget vs. Actuals'!C67</f>
        <v>0</v>
      </c>
      <c r="C54" s="22">
        <f>'Budget vs. Actuals'!E67</f>
        <v>0</v>
      </c>
      <c r="D54" s="22">
        <f>'Budget vs. Actuals'!G67</f>
        <v>0</v>
      </c>
      <c r="E54" s="22">
        <f>'Budget vs. Actuals'!I67</f>
        <v>0</v>
      </c>
      <c r="F54" s="22">
        <f>'Budget vs. Actuals'!K67</f>
        <v>0</v>
      </c>
      <c r="G54" s="22">
        <f>'Budget vs. Actuals'!M67</f>
        <v>0</v>
      </c>
      <c r="H54" s="22">
        <f>'Budget vs. Actuals'!O67</f>
        <v>0</v>
      </c>
      <c r="I54" s="22">
        <f>'Budget vs. Actuals'!Q67</f>
        <v>0</v>
      </c>
      <c r="J54" s="22">
        <f>'Budget vs. Actuals'!S67</f>
        <v>0</v>
      </c>
      <c r="K54" s="22">
        <f>'Budget vs. Actuals'!U67</f>
        <v>0</v>
      </c>
      <c r="L54" s="22">
        <f>'Budget vs. Actuals'!W67</f>
        <v>0</v>
      </c>
      <c r="M54" s="22">
        <f>'Budget vs. Actuals'!Y67</f>
        <v>0</v>
      </c>
    </row>
    <row r="55" spans="1:13">
      <c r="A55" s="1" t="s">
        <v>36</v>
      </c>
      <c r="B55" s="22">
        <f>'Budget vs. Actuals'!C68</f>
        <v>0</v>
      </c>
      <c r="C55" s="22">
        <f>'Budget vs. Actuals'!E68</f>
        <v>0</v>
      </c>
      <c r="D55" s="22">
        <f>'Budget vs. Actuals'!G68</f>
        <v>0.22171999999999997</v>
      </c>
      <c r="E55" s="22">
        <f>'Budget vs. Actuals'!I68</f>
        <v>0.22222222222222221</v>
      </c>
      <c r="F55" s="22">
        <f>'Budget vs. Actuals'!K68</f>
        <v>0.30449481481481483</v>
      </c>
      <c r="G55" s="22">
        <f>'Budget vs. Actuals'!M68</f>
        <v>0</v>
      </c>
      <c r="H55" s="22">
        <f>'Budget vs. Actuals'!O68</f>
        <v>0</v>
      </c>
      <c r="I55" s="22">
        <f>'Budget vs. Actuals'!Q68</f>
        <v>0</v>
      </c>
      <c r="J55" s="22">
        <f>'Budget vs. Actuals'!S68</f>
        <v>0</v>
      </c>
      <c r="K55" s="22">
        <f>'Budget vs. Actuals'!U68</f>
        <v>0</v>
      </c>
      <c r="L55" s="22">
        <f>'Budget vs. Actuals'!W68</f>
        <v>0</v>
      </c>
      <c r="M55" s="22">
        <f>'Budget vs. Actuals'!Y68</f>
        <v>0</v>
      </c>
    </row>
    <row r="56" spans="1:13">
      <c r="A56" s="1" t="s">
        <v>138</v>
      </c>
      <c r="B56" s="22">
        <f>'Budget vs. Actuals'!C69</f>
        <v>0</v>
      </c>
      <c r="C56" s="22">
        <f>'Budget vs. Actuals'!E69</f>
        <v>0</v>
      </c>
      <c r="D56" s="22">
        <f>'Budget vs. Actuals'!G69</f>
        <v>0</v>
      </c>
      <c r="E56" s="22">
        <f>'Budget vs. Actuals'!I69</f>
        <v>0</v>
      </c>
      <c r="F56" s="22">
        <f>'Budget vs. Actuals'!K69</f>
        <v>0</v>
      </c>
      <c r="G56" s="22">
        <f>'Budget vs. Actuals'!M69</f>
        <v>0</v>
      </c>
      <c r="H56" s="22">
        <f>'Budget vs. Actuals'!O69</f>
        <v>0</v>
      </c>
      <c r="I56" s="22">
        <f>'Budget vs. Actuals'!Q69</f>
        <v>0</v>
      </c>
      <c r="J56" s="22">
        <f>'Budget vs. Actuals'!S69</f>
        <v>0</v>
      </c>
      <c r="K56" s="22">
        <f>'Budget vs. Actuals'!U69</f>
        <v>0</v>
      </c>
      <c r="L56" s="22">
        <f>'Budget vs. Actuals'!W69</f>
        <v>0</v>
      </c>
      <c r="M56" s="22">
        <f>'Budget vs. Actuals'!Y69</f>
        <v>0</v>
      </c>
    </row>
    <row r="57" spans="1:13">
      <c r="A57" s="1" t="s">
        <v>139</v>
      </c>
      <c r="B57" s="22">
        <f>'Budget vs. Actuals'!C70</f>
        <v>8.3333333333333329E-2</v>
      </c>
      <c r="C57" s="22">
        <f>'Budget vs. Actuals'!E70</f>
        <v>0.16666666666666666</v>
      </c>
      <c r="D57" s="22">
        <f>'Budget vs. Actuals'!G70</f>
        <v>8.3333333333333329E-2</v>
      </c>
      <c r="E57" s="22">
        <f>'Budget vs. Actuals'!I70</f>
        <v>0</v>
      </c>
      <c r="F57" s="22">
        <f>'Budget vs. Actuals'!K70</f>
        <v>8.3333333333333329E-2</v>
      </c>
      <c r="G57" s="22">
        <f>'Budget vs. Actuals'!M70</f>
        <v>0.16666666666666666</v>
      </c>
      <c r="H57" s="22">
        <f>'Budget vs. Actuals'!O70</f>
        <v>8.3333333333333329E-2</v>
      </c>
      <c r="I57" s="22">
        <f>'Budget vs. Actuals'!Q70</f>
        <v>0</v>
      </c>
      <c r="J57" s="22">
        <f>'Budget vs. Actuals'!S70</f>
        <v>0</v>
      </c>
      <c r="K57" s="22">
        <f>'Budget vs. Actuals'!U70</f>
        <v>0</v>
      </c>
      <c r="L57" s="22">
        <f>'Budget vs. Actuals'!W70</f>
        <v>0</v>
      </c>
      <c r="M57" s="22">
        <f>'Budget vs. Actuals'!Y70</f>
        <v>0</v>
      </c>
    </row>
    <row r="58" spans="1:13">
      <c r="A58" s="1" t="s">
        <v>140</v>
      </c>
      <c r="B58" s="22">
        <f>'Budget vs. Actuals'!C71</f>
        <v>-7.083333333333333E-3</v>
      </c>
      <c r="C58" s="22">
        <f>'Budget vs. Actuals'!E71</f>
        <v>0.22846666666666668</v>
      </c>
      <c r="D58" s="22">
        <f>'Budget vs. Actuals'!G71</f>
        <v>0</v>
      </c>
      <c r="E58" s="22">
        <f>'Budget vs. Actuals'!I71</f>
        <v>0</v>
      </c>
      <c r="F58" s="22">
        <f>'Budget vs. Actuals'!K71</f>
        <v>0</v>
      </c>
      <c r="G58" s="22">
        <f>'Budget vs. Actuals'!M71</f>
        <v>0.18416666666666667</v>
      </c>
      <c r="H58" s="22">
        <f>'Budget vs. Actuals'!O71</f>
        <v>0</v>
      </c>
      <c r="I58" s="22">
        <f>'Budget vs. Actuals'!Q71</f>
        <v>0</v>
      </c>
      <c r="J58" s="22">
        <f>'Budget vs. Actuals'!S71</f>
        <v>0</v>
      </c>
      <c r="K58" s="22">
        <f>'Budget vs. Actuals'!U71</f>
        <v>0</v>
      </c>
      <c r="L58" s="22">
        <f>'Budget vs. Actuals'!W71</f>
        <v>0</v>
      </c>
      <c r="M58" s="22">
        <f>'Budget vs. Actuals'!Y71</f>
        <v>0</v>
      </c>
    </row>
    <row r="59" spans="1:13">
      <c r="A59" s="1" t="s">
        <v>141</v>
      </c>
      <c r="B59" s="22">
        <f>'Budget vs. Actuals'!C72</f>
        <v>0</v>
      </c>
      <c r="C59" s="22">
        <f>'Budget vs. Actuals'!E72</f>
        <v>0</v>
      </c>
      <c r="D59" s="22">
        <f>'Budget vs. Actuals'!G72</f>
        <v>0</v>
      </c>
      <c r="E59" s="22">
        <f>'Budget vs. Actuals'!I72</f>
        <v>0</v>
      </c>
      <c r="F59" s="22">
        <f>'Budget vs. Actuals'!K72</f>
        <v>0</v>
      </c>
      <c r="G59" s="22">
        <f>'Budget vs. Actuals'!M72</f>
        <v>0</v>
      </c>
      <c r="H59" s="22">
        <f>'Budget vs. Actuals'!O72</f>
        <v>0</v>
      </c>
      <c r="I59" s="22">
        <f>'Budget vs. Actuals'!Q72</f>
        <v>0</v>
      </c>
      <c r="J59" s="22">
        <f>'Budget vs. Actuals'!S72</f>
        <v>0</v>
      </c>
      <c r="K59" s="22">
        <f>'Budget vs. Actuals'!U72</f>
        <v>0</v>
      </c>
      <c r="L59" s="22">
        <f>'Budget vs. Actuals'!W72</f>
        <v>0</v>
      </c>
      <c r="M59" s="22">
        <f>'Budget vs. Actuals'!Y72</f>
        <v>0</v>
      </c>
    </row>
    <row r="60" spans="1:13">
      <c r="A60" s="1" t="s">
        <v>142</v>
      </c>
      <c r="B60" s="22">
        <f>'Budget vs. Actuals'!C74</f>
        <v>8.1379837067209776E-2</v>
      </c>
      <c r="C60" s="22">
        <f>'Budget vs. Actuals'!E74</f>
        <v>0.16572464358452138</v>
      </c>
      <c r="D60" s="22">
        <f>'Budget vs. Actuals'!G74</f>
        <v>8.1466395112016296E-2</v>
      </c>
      <c r="E60" s="22">
        <f>'Budget vs. Actuals'!I74</f>
        <v>0</v>
      </c>
      <c r="F60" s="22">
        <f>'Budget vs. Actuals'!K74</f>
        <v>8.1466395112016296E-2</v>
      </c>
      <c r="G60" s="22">
        <f>'Budget vs. Actuals'!M74</f>
        <v>0.16518329938900203</v>
      </c>
      <c r="H60" s="22">
        <f>'Budget vs. Actuals'!O74</f>
        <v>8.1466395112016296E-2</v>
      </c>
      <c r="I60" s="22">
        <f>'Budget vs. Actuals'!Q74</f>
        <v>0</v>
      </c>
      <c r="J60" s="22">
        <f>'Budget vs. Actuals'!S74</f>
        <v>0</v>
      </c>
      <c r="K60" s="22">
        <f>'Budget vs. Actuals'!U74</f>
        <v>0</v>
      </c>
      <c r="L60" s="22">
        <f>'Budget vs. Actuals'!W74</f>
        <v>0</v>
      </c>
      <c r="M60" s="22">
        <f>'Budget vs. Actuals'!Y74</f>
        <v>0</v>
      </c>
    </row>
    <row r="61" spans="1:13">
      <c r="A61" s="1" t="s">
        <v>143</v>
      </c>
      <c r="B61" s="22">
        <f>'Budget vs. Actuals'!C75</f>
        <v>0</v>
      </c>
      <c r="C61" s="22">
        <f>'Budget vs. Actuals'!E75</f>
        <v>0</v>
      </c>
      <c r="D61" s="22">
        <f>'Budget vs. Actuals'!G75</f>
        <v>0</v>
      </c>
      <c r="E61" s="22">
        <f>'Budget vs. Actuals'!I75</f>
        <v>0</v>
      </c>
      <c r="F61" s="22">
        <f>'Budget vs. Actuals'!K75</f>
        <v>0</v>
      </c>
      <c r="G61" s="22">
        <f>'Budget vs. Actuals'!M75</f>
        <v>0</v>
      </c>
      <c r="H61" s="22">
        <f>'Budget vs. Actuals'!O75</f>
        <v>0</v>
      </c>
      <c r="I61" s="22">
        <f>'Budget vs. Actuals'!Q75</f>
        <v>0</v>
      </c>
      <c r="J61" s="22">
        <f>'Budget vs. Actuals'!S75</f>
        <v>0</v>
      </c>
      <c r="K61" s="22">
        <f>'Budget vs. Actuals'!U75</f>
        <v>0</v>
      </c>
      <c r="L61" s="22">
        <f>'Budget vs. Actuals'!W75</f>
        <v>0</v>
      </c>
      <c r="M61" s="22">
        <f>'Budget vs. Actuals'!Y75</f>
        <v>0</v>
      </c>
    </row>
    <row r="62" spans="1:13">
      <c r="A62" s="1" t="s">
        <v>144</v>
      </c>
      <c r="B62" s="22">
        <f>'Budget vs. Actuals'!C76</f>
        <v>0</v>
      </c>
      <c r="C62" s="22">
        <f>'Budget vs. Actuals'!E76</f>
        <v>0</v>
      </c>
      <c r="D62" s="22">
        <f>'Budget vs. Actuals'!G76</f>
        <v>0</v>
      </c>
      <c r="E62" s="22">
        <f>'Budget vs. Actuals'!I76</f>
        <v>0</v>
      </c>
      <c r="F62" s="22">
        <f>'Budget vs. Actuals'!K76</f>
        <v>0</v>
      </c>
      <c r="G62" s="22">
        <f>'Budget vs. Actuals'!M76</f>
        <v>0</v>
      </c>
      <c r="H62" s="22">
        <f>'Budget vs. Actuals'!O76</f>
        <v>0</v>
      </c>
      <c r="I62" s="22">
        <f>'Budget vs. Actuals'!Q76</f>
        <v>0</v>
      </c>
      <c r="J62" s="22">
        <f>'Budget vs. Actuals'!S76</f>
        <v>0</v>
      </c>
      <c r="K62" s="22">
        <f>'Budget vs. Actuals'!U76</f>
        <v>0</v>
      </c>
      <c r="L62" s="22">
        <f>'Budget vs. Actuals'!W76</f>
        <v>0</v>
      </c>
      <c r="M62" s="22">
        <f>'Budget vs. Actuals'!Y76</f>
        <v>0</v>
      </c>
    </row>
    <row r="63" spans="1:13">
      <c r="A63" s="1" t="s">
        <v>145</v>
      </c>
      <c r="B63" s="22">
        <f>'Budget vs. Actuals'!C78</f>
        <v>0.19444333333333336</v>
      </c>
      <c r="C63" s="22">
        <f>'Budget vs. Actuals'!E78</f>
        <v>7.7776666666666674E-2</v>
      </c>
      <c r="D63" s="22">
        <f>'Budget vs. Actuals'!G78</f>
        <v>5.555333333333333E-2</v>
      </c>
      <c r="E63" s="22">
        <f>'Budget vs. Actuals'!I78</f>
        <v>0</v>
      </c>
      <c r="F63" s="22">
        <f>'Budget vs. Actuals'!K78</f>
        <v>2.7776666666666665E-2</v>
      </c>
      <c r="G63" s="22">
        <f>'Budget vs. Actuals'!M78</f>
        <v>5.555333333333333E-2</v>
      </c>
      <c r="H63" s="22">
        <f>'Budget vs. Actuals'!O78</f>
        <v>0.63600000000000001</v>
      </c>
      <c r="I63" s="22">
        <f>'Budget vs. Actuals'!Q78</f>
        <v>0</v>
      </c>
      <c r="J63" s="22">
        <f>'Budget vs. Actuals'!S78</f>
        <v>0</v>
      </c>
      <c r="K63" s="22">
        <f>'Budget vs. Actuals'!U78</f>
        <v>0</v>
      </c>
      <c r="L63" s="22">
        <f>'Budget vs. Actuals'!W78</f>
        <v>0</v>
      </c>
      <c r="M63" s="22">
        <f>'Budget vs. Actuals'!Y78</f>
        <v>0</v>
      </c>
    </row>
    <row r="64" spans="1:13">
      <c r="A64" s="1" t="s">
        <v>146</v>
      </c>
      <c r="B64" s="22">
        <f>'Budget vs. Actuals'!C79</f>
        <v>0</v>
      </c>
      <c r="C64" s="22">
        <f>'Budget vs. Actuals'!E79</f>
        <v>0</v>
      </c>
      <c r="D64" s="22">
        <f>'Budget vs. Actuals'!G79</f>
        <v>0</v>
      </c>
      <c r="E64" s="22">
        <f>'Budget vs. Actuals'!I79</f>
        <v>0.5</v>
      </c>
      <c r="F64" s="22">
        <f>'Budget vs. Actuals'!K79</f>
        <v>0</v>
      </c>
      <c r="G64" s="22">
        <f>'Budget vs. Actuals'!M79</f>
        <v>0</v>
      </c>
      <c r="H64" s="22">
        <f>'Budget vs. Actuals'!O79</f>
        <v>0</v>
      </c>
      <c r="I64" s="22">
        <f>'Budget vs. Actuals'!Q79</f>
        <v>0</v>
      </c>
      <c r="J64" s="22">
        <f>'Budget vs. Actuals'!S79</f>
        <v>0</v>
      </c>
      <c r="K64" s="22">
        <f>'Budget vs. Actuals'!U79</f>
        <v>0</v>
      </c>
      <c r="L64" s="22">
        <f>'Budget vs. Actuals'!W79</f>
        <v>0</v>
      </c>
      <c r="M64" s="22">
        <f>'Budget vs. Actuals'!Y79</f>
        <v>0</v>
      </c>
    </row>
    <row r="65" spans="1:13">
      <c r="A65" s="1" t="s">
        <v>147</v>
      </c>
      <c r="B65" s="22">
        <f>'Budget vs. Actuals'!C80</f>
        <v>0.16908115942028987</v>
      </c>
      <c r="C65" s="22">
        <f>'Budget vs. Actuals'!E80</f>
        <v>6.763188405797102E-2</v>
      </c>
      <c r="D65" s="22">
        <f>'Budget vs. Actuals'!G80</f>
        <v>4.8307246376811594E-2</v>
      </c>
      <c r="E65" s="22">
        <f>'Budget vs. Actuals'!I80</f>
        <v>2.8985507246376812E-2</v>
      </c>
      <c r="F65" s="22">
        <f>'Budget vs. Actuals'!K80</f>
        <v>2.4153623188405797E-2</v>
      </c>
      <c r="G65" s="22">
        <f>'Budget vs. Actuals'!M80</f>
        <v>4.8307246376811594E-2</v>
      </c>
      <c r="H65" s="22">
        <f>'Budget vs. Actuals'!O80</f>
        <v>0.55304347826086953</v>
      </c>
      <c r="I65" s="22">
        <f>'Budget vs. Actuals'!Q80</f>
        <v>0</v>
      </c>
      <c r="J65" s="22">
        <f>'Budget vs. Actuals'!S80</f>
        <v>0</v>
      </c>
      <c r="K65" s="22">
        <f>'Budget vs. Actuals'!U80</f>
        <v>0</v>
      </c>
      <c r="L65" s="22">
        <f>'Budget vs. Actuals'!W80</f>
        <v>0</v>
      </c>
      <c r="M65" s="22">
        <f>'Budget vs. Actuals'!Y80</f>
        <v>0</v>
      </c>
    </row>
    <row r="66" spans="1:13">
      <c r="A66" s="1" t="s">
        <v>148</v>
      </c>
      <c r="B66" s="22">
        <f>'Budget vs. Actuals'!C81</f>
        <v>0</v>
      </c>
      <c r="C66" s="22">
        <f>'Budget vs. Actuals'!E81</f>
        <v>0</v>
      </c>
      <c r="D66" s="22">
        <f>'Budget vs. Actuals'!G81</f>
        <v>0</v>
      </c>
      <c r="E66" s="22">
        <f>'Budget vs. Actuals'!I81</f>
        <v>0</v>
      </c>
      <c r="F66" s="22">
        <f>'Budget vs. Actuals'!K81</f>
        <v>0</v>
      </c>
      <c r="G66" s="22">
        <f>'Budget vs. Actuals'!M81</f>
        <v>0</v>
      </c>
      <c r="H66" s="22">
        <f>'Budget vs. Actuals'!O81</f>
        <v>0</v>
      </c>
      <c r="I66" s="22">
        <f>'Budget vs. Actuals'!Q81</f>
        <v>0</v>
      </c>
      <c r="J66" s="22">
        <f>'Budget vs. Actuals'!S81</f>
        <v>0</v>
      </c>
      <c r="K66" s="22">
        <f>'Budget vs. Actuals'!U81</f>
        <v>0</v>
      </c>
      <c r="L66" s="22">
        <f>'Budget vs. Actuals'!W81</f>
        <v>0</v>
      </c>
      <c r="M66" s="22">
        <f>'Budget vs. Actuals'!Y81</f>
        <v>0</v>
      </c>
    </row>
    <row r="67" spans="1:13">
      <c r="A67" s="1" t="s">
        <v>149</v>
      </c>
      <c r="B67" s="22">
        <f>'Budget vs. Actuals'!C82</f>
        <v>0</v>
      </c>
      <c r="C67" s="22">
        <f>'Budget vs. Actuals'!E82</f>
        <v>0</v>
      </c>
      <c r="D67" s="22">
        <f>'Budget vs. Actuals'!G82</f>
        <v>0</v>
      </c>
      <c r="E67" s="22">
        <f>'Budget vs. Actuals'!I82</f>
        <v>0</v>
      </c>
      <c r="F67" s="22">
        <f>'Budget vs. Actuals'!K82</f>
        <v>0</v>
      </c>
      <c r="G67" s="22">
        <f>'Budget vs. Actuals'!M82</f>
        <v>0</v>
      </c>
      <c r="H67" s="22">
        <f>'Budget vs. Actuals'!O82</f>
        <v>0</v>
      </c>
      <c r="I67" s="22">
        <f>'Budget vs. Actuals'!Q82</f>
        <v>0</v>
      </c>
      <c r="J67" s="22">
        <f>'Budget vs. Actuals'!S82</f>
        <v>0</v>
      </c>
      <c r="K67" s="22">
        <f>'Budget vs. Actuals'!U82</f>
        <v>0</v>
      </c>
      <c r="L67" s="22">
        <f>'Budget vs. Actuals'!W82</f>
        <v>0</v>
      </c>
      <c r="M67" s="22">
        <f>'Budget vs. Actuals'!Y82</f>
        <v>0</v>
      </c>
    </row>
    <row r="68" spans="1:13">
      <c r="A68" s="1" t="s">
        <v>150</v>
      </c>
      <c r="B68" s="22">
        <f>'Budget vs. Actuals'!C83</f>
        <v>8.3334000000000005E-2</v>
      </c>
      <c r="C68" s="22">
        <f>'Budget vs. Actuals'!E83</f>
        <v>8.3332000000000003E-2</v>
      </c>
      <c r="D68" s="22">
        <f>'Budget vs. Actuals'!G83</f>
        <v>0.124998</v>
      </c>
      <c r="E68" s="22">
        <f>'Budget vs. Actuals'!I83</f>
        <v>4.1666000000000002E-2</v>
      </c>
      <c r="F68" s="22">
        <f>'Budget vs. Actuals'!K83</f>
        <v>8.3332000000000003E-2</v>
      </c>
      <c r="G68" s="22">
        <f>'Budget vs. Actuals'!M83</f>
        <v>0.124998</v>
      </c>
      <c r="H68" s="22">
        <f>'Budget vs. Actuals'!O83</f>
        <v>4.1666000000000002E-2</v>
      </c>
      <c r="I68" s="22">
        <f>'Budget vs. Actuals'!Q83</f>
        <v>0</v>
      </c>
      <c r="J68" s="22">
        <f>'Budget vs. Actuals'!S83</f>
        <v>0</v>
      </c>
      <c r="K68" s="22">
        <f>'Budget vs. Actuals'!U83</f>
        <v>0</v>
      </c>
      <c r="L68" s="22">
        <f>'Budget vs. Actuals'!W83</f>
        <v>0</v>
      </c>
      <c r="M68" s="22">
        <f>'Budget vs. Actuals'!Y83</f>
        <v>0</v>
      </c>
    </row>
    <row r="69" spans="1:13">
      <c r="A69" s="1" t="s">
        <v>151</v>
      </c>
      <c r="B69" s="22">
        <f>'Budget vs. Actuals'!C84</f>
        <v>8.3334000000000005E-2</v>
      </c>
      <c r="C69" s="22">
        <f>'Budget vs. Actuals'!E84</f>
        <v>8.3334000000000005E-2</v>
      </c>
      <c r="D69" s="22">
        <f>'Budget vs. Actuals'!G84</f>
        <v>0.16666800000000001</v>
      </c>
      <c r="E69" s="22">
        <f>'Budget vs. Actuals'!I84</f>
        <v>0</v>
      </c>
      <c r="F69" s="22">
        <f>'Budget vs. Actuals'!K84</f>
        <v>8.3334000000000005E-2</v>
      </c>
      <c r="G69" s="22">
        <f>'Budget vs. Actuals'!M84</f>
        <v>0.16666800000000001</v>
      </c>
      <c r="H69" s="22">
        <f>'Budget vs. Actuals'!O84</f>
        <v>0</v>
      </c>
      <c r="I69" s="22">
        <f>'Budget vs. Actuals'!Q84</f>
        <v>0</v>
      </c>
      <c r="J69" s="22">
        <f>'Budget vs. Actuals'!S84</f>
        <v>0</v>
      </c>
      <c r="K69" s="22">
        <f>'Budget vs. Actuals'!U84</f>
        <v>0</v>
      </c>
      <c r="L69" s="22">
        <f>'Budget vs. Actuals'!W84</f>
        <v>0</v>
      </c>
      <c r="M69" s="22">
        <f>'Budget vs. Actuals'!Y84</f>
        <v>0</v>
      </c>
    </row>
    <row r="70" spans="1:13">
      <c r="A70" s="1" t="s">
        <v>152</v>
      </c>
      <c r="B70" s="22">
        <f>'Budget vs. Actuals'!C85</f>
        <v>8.761404109589041E-2</v>
      </c>
      <c r="C70" s="22">
        <f>'Budget vs. Actuals'!E85</f>
        <v>9.0676027397260273E-2</v>
      </c>
      <c r="D70" s="22">
        <f>'Budget vs. Actuals'!G85</f>
        <v>0.17522808219178082</v>
      </c>
      <c r="E70" s="22">
        <f>'Budget vs. Actuals'!I85</f>
        <v>0</v>
      </c>
      <c r="F70" s="22">
        <f>'Budget vs. Actuals'!K85</f>
        <v>8.761404109589041E-2</v>
      </c>
      <c r="G70" s="22">
        <f>'Budget vs. Actuals'!M85</f>
        <v>0.17522808219178082</v>
      </c>
      <c r="H70" s="22">
        <f>'Budget vs. Actuals'!O85</f>
        <v>8.761404109589041E-2</v>
      </c>
      <c r="I70" s="22">
        <f>'Budget vs. Actuals'!Q85</f>
        <v>0</v>
      </c>
      <c r="J70" s="22">
        <f>'Budget vs. Actuals'!S85</f>
        <v>0</v>
      </c>
      <c r="K70" s="22">
        <f>'Budget vs. Actuals'!U85</f>
        <v>0</v>
      </c>
      <c r="L70" s="22">
        <f>'Budget vs. Actuals'!W85</f>
        <v>0</v>
      </c>
      <c r="M70" s="22">
        <f>'Budget vs. Actuals'!Y85</f>
        <v>0</v>
      </c>
    </row>
    <row r="71" spans="1:13">
      <c r="A71" s="1" t="s">
        <v>153</v>
      </c>
      <c r="B71" s="22">
        <f>'Budget vs. Actuals'!C86</f>
        <v>0</v>
      </c>
      <c r="C71" s="22">
        <f>'Budget vs. Actuals'!E86</f>
        <v>0</v>
      </c>
      <c r="D71" s="22">
        <f>'Budget vs. Actuals'!G86</f>
        <v>0.33333333333333331</v>
      </c>
      <c r="E71" s="22">
        <f>'Budget vs. Actuals'!I86</f>
        <v>0</v>
      </c>
      <c r="F71" s="22">
        <f>'Budget vs. Actuals'!K86</f>
        <v>0</v>
      </c>
      <c r="G71" s="22">
        <f>'Budget vs. Actuals'!M86</f>
        <v>0</v>
      </c>
      <c r="H71" s="22">
        <f>'Budget vs. Actuals'!O86</f>
        <v>0</v>
      </c>
      <c r="I71" s="22">
        <f>'Budget vs. Actuals'!Q86</f>
        <v>0</v>
      </c>
      <c r="J71" s="22">
        <f>'Budget vs. Actuals'!S86</f>
        <v>0</v>
      </c>
      <c r="K71" s="22">
        <f>'Budget vs. Actuals'!U86</f>
        <v>0</v>
      </c>
      <c r="L71" s="22">
        <f>'Budget vs. Actuals'!W86</f>
        <v>0</v>
      </c>
      <c r="M71" s="22">
        <f>'Budget vs. Actuals'!Y86</f>
        <v>0</v>
      </c>
    </row>
    <row r="72" spans="1:13">
      <c r="A72" s="1" t="s">
        <v>154</v>
      </c>
      <c r="B72" s="22">
        <f>'Budget vs. Actuals'!C87</f>
        <v>8.3332000000000003E-2</v>
      </c>
      <c r="C72" s="22">
        <f>'Budget vs. Actuals'!E87</f>
        <v>8.3332000000000003E-2</v>
      </c>
      <c r="D72" s="22">
        <f>'Budget vs. Actuals'!G87</f>
        <v>0.16666400000000001</v>
      </c>
      <c r="E72" s="22">
        <f>'Budget vs. Actuals'!I87</f>
        <v>0</v>
      </c>
      <c r="F72" s="22">
        <f>'Budget vs. Actuals'!K87</f>
        <v>8.3332000000000003E-2</v>
      </c>
      <c r="G72" s="22">
        <f>'Budget vs. Actuals'!M87</f>
        <v>0.16666400000000001</v>
      </c>
      <c r="H72" s="22">
        <f>'Budget vs. Actuals'!O87</f>
        <v>0</v>
      </c>
      <c r="I72" s="22">
        <f>'Budget vs. Actuals'!Q87</f>
        <v>0</v>
      </c>
      <c r="J72" s="22">
        <f>'Budget vs. Actuals'!S87</f>
        <v>0</v>
      </c>
      <c r="K72" s="22">
        <f>'Budget vs. Actuals'!U87</f>
        <v>0</v>
      </c>
      <c r="L72" s="22">
        <f>'Budget vs. Actuals'!W87</f>
        <v>0</v>
      </c>
      <c r="M72" s="22">
        <f>'Budget vs. Actuals'!Y87</f>
        <v>0</v>
      </c>
    </row>
    <row r="73" spans="1:13">
      <c r="A73" s="1" t="s">
        <v>37</v>
      </c>
      <c r="B73" s="22">
        <f>'Budget vs. Actuals'!C88</f>
        <v>8.3336000000000007E-2</v>
      </c>
      <c r="C73" s="22">
        <f>'Budget vs. Actuals'!E88</f>
        <v>8.3334000000000005E-2</v>
      </c>
      <c r="D73" s="22">
        <f>'Budget vs. Actuals'!G88</f>
        <v>0.124998</v>
      </c>
      <c r="E73" s="22">
        <f>'Budget vs. Actuals'!I88</f>
        <v>4.1666000000000002E-2</v>
      </c>
      <c r="F73" s="22">
        <f>'Budget vs. Actuals'!K88</f>
        <v>8.3332000000000003E-2</v>
      </c>
      <c r="G73" s="22">
        <f>'Budget vs. Actuals'!M88</f>
        <v>0.124998</v>
      </c>
      <c r="H73" s="22">
        <f>'Budget vs. Actuals'!O88</f>
        <v>4.1666000000000002E-2</v>
      </c>
      <c r="I73" s="22">
        <f>'Budget vs. Actuals'!Q88</f>
        <v>0</v>
      </c>
      <c r="J73" s="22">
        <f>'Budget vs. Actuals'!S88</f>
        <v>0</v>
      </c>
      <c r="K73" s="22">
        <f>'Budget vs. Actuals'!U88</f>
        <v>0</v>
      </c>
      <c r="L73" s="22">
        <f>'Budget vs. Actuals'!W88</f>
        <v>0</v>
      </c>
      <c r="M73" s="22">
        <f>'Budget vs. Actuals'!Y88</f>
        <v>0</v>
      </c>
    </row>
    <row r="74" spans="1:13">
      <c r="A74" s="1" t="s">
        <v>38</v>
      </c>
      <c r="B74" s="22">
        <f>'Budget vs. Actuals'!C89</f>
        <v>6.666628571428572E-2</v>
      </c>
      <c r="C74" s="22">
        <f>'Budget vs. Actuals'!E89</f>
        <v>6.666628571428572E-2</v>
      </c>
      <c r="D74" s="22">
        <f>'Budget vs. Actuals'!G89</f>
        <v>0.15</v>
      </c>
      <c r="E74" s="22">
        <f>'Budget vs. Actuals'!I89</f>
        <v>0</v>
      </c>
      <c r="F74" s="22">
        <f>'Budget vs. Actuals'!K89</f>
        <v>6.666628571428572E-2</v>
      </c>
      <c r="G74" s="22">
        <f>'Budget vs. Actuals'!M89</f>
        <v>0.16666742857142855</v>
      </c>
      <c r="H74" s="22">
        <f>'Budget vs. Actuals'!O89</f>
        <v>0</v>
      </c>
      <c r="I74" s="22">
        <f>'Budget vs. Actuals'!Q89</f>
        <v>0</v>
      </c>
      <c r="J74" s="22">
        <f>'Budget vs. Actuals'!S89</f>
        <v>0</v>
      </c>
      <c r="K74" s="22">
        <f>'Budget vs. Actuals'!U89</f>
        <v>0</v>
      </c>
      <c r="L74" s="22">
        <f>'Budget vs. Actuals'!W89</f>
        <v>0</v>
      </c>
      <c r="M74" s="22">
        <f>'Budget vs. Actuals'!Y89</f>
        <v>0</v>
      </c>
    </row>
    <row r="75" spans="1:13">
      <c r="A75" s="1" t="s">
        <v>39</v>
      </c>
      <c r="B75" s="22">
        <f>'Budget vs. Actuals'!C90</f>
        <v>0.17621621621621622</v>
      </c>
      <c r="C75" s="22">
        <f>'Budget vs. Actuals'!E90</f>
        <v>9.3727027027027038E-2</v>
      </c>
      <c r="D75" s="22">
        <f>'Budget vs. Actuals'!G90</f>
        <v>9.3727027027027038E-2</v>
      </c>
      <c r="E75" s="22">
        <f>'Budget vs. Actuals'!I90</f>
        <v>2.0270270270270271E-2</v>
      </c>
      <c r="F75" s="22">
        <f>'Budget vs. Actuals'!K90</f>
        <v>0.18745405405405408</v>
      </c>
      <c r="G75" s="22">
        <f>'Budget vs. Actuals'!M90</f>
        <v>0</v>
      </c>
      <c r="H75" s="22">
        <f>'Budget vs. Actuals'!O90</f>
        <v>9.8308108108108111E-2</v>
      </c>
      <c r="I75" s="22">
        <f>'Budget vs. Actuals'!Q90</f>
        <v>0</v>
      </c>
      <c r="J75" s="22">
        <f>'Budget vs. Actuals'!S90</f>
        <v>0</v>
      </c>
      <c r="K75" s="22">
        <f>'Budget vs. Actuals'!U90</f>
        <v>0</v>
      </c>
      <c r="L75" s="22">
        <f>'Budget vs. Actuals'!W90</f>
        <v>0</v>
      </c>
      <c r="M75" s="22">
        <f>'Budget vs. Actuals'!Y90</f>
        <v>0</v>
      </c>
    </row>
    <row r="76" spans="1:13">
      <c r="A76" s="1" t="s">
        <v>40</v>
      </c>
      <c r="B76" s="22">
        <f>'Budget vs. Actuals'!C91</f>
        <v>0</v>
      </c>
      <c r="C76" s="22">
        <f>'Budget vs. Actuals'!E91</f>
        <v>0</v>
      </c>
      <c r="D76" s="22">
        <f>'Budget vs. Actuals'!G91</f>
        <v>0</v>
      </c>
      <c r="E76" s="22">
        <f>'Budget vs. Actuals'!I91</f>
        <v>0</v>
      </c>
      <c r="F76" s="22">
        <f>'Budget vs. Actuals'!K91</f>
        <v>0</v>
      </c>
      <c r="G76" s="22">
        <f>'Budget vs. Actuals'!M91</f>
        <v>0</v>
      </c>
      <c r="H76" s="22">
        <f>'Budget vs. Actuals'!O91</f>
        <v>0</v>
      </c>
      <c r="I76" s="22">
        <f>'Budget vs. Actuals'!Q91</f>
        <v>0</v>
      </c>
      <c r="J76" s="22">
        <f>'Budget vs. Actuals'!S91</f>
        <v>0</v>
      </c>
      <c r="K76" s="22">
        <f>'Budget vs. Actuals'!U91</f>
        <v>0</v>
      </c>
      <c r="L76" s="22">
        <f>'Budget vs. Actuals'!W91</f>
        <v>0</v>
      </c>
      <c r="M76" s="22">
        <f>'Budget vs. Actuals'!Y91</f>
        <v>0</v>
      </c>
    </row>
    <row r="77" spans="1:13">
      <c r="A77" s="1" t="s">
        <v>41</v>
      </c>
      <c r="B77" s="22">
        <f>'Budget vs. Actuals'!C94</f>
        <v>8.9194125683060108E-2</v>
      </c>
      <c r="C77" s="22">
        <f>'Budget vs. Actuals'!E94</f>
        <v>8.207609289617486E-2</v>
      </c>
      <c r="D77" s="22">
        <f>'Budget vs. Actuals'!G94</f>
        <v>0.155250956284153</v>
      </c>
      <c r="E77" s="22">
        <f>'Budget vs. Actuals'!I94</f>
        <v>1.0587295081967213E-2</v>
      </c>
      <c r="F77" s="22">
        <f>'Budget vs. Actuals'!K94</f>
        <v>9.8127049180327858E-2</v>
      </c>
      <c r="G77" s="22">
        <f>'Budget vs. Actuals'!M94</f>
        <v>0.13820532786885245</v>
      </c>
      <c r="H77" s="22">
        <f>'Budget vs. Actuals'!O94</f>
        <v>5.342622950819672E-2</v>
      </c>
      <c r="I77" s="22">
        <f>'Budget vs. Actuals'!Q94</f>
        <v>0</v>
      </c>
      <c r="J77" s="22">
        <f>'Budget vs. Actuals'!S94</f>
        <v>0</v>
      </c>
      <c r="K77" s="22">
        <f>'Budget vs. Actuals'!U94</f>
        <v>0</v>
      </c>
      <c r="L77" s="22">
        <f>'Budget vs. Actuals'!W94</f>
        <v>0</v>
      </c>
      <c r="M77" s="22">
        <f>'Budget vs. Actuals'!Y94</f>
        <v>0</v>
      </c>
    </row>
    <row r="78" spans="1:13">
      <c r="A78" s="1" t="s">
        <v>42</v>
      </c>
      <c r="B78" s="22">
        <f>'Budget vs. Actuals'!C95</f>
        <v>0</v>
      </c>
      <c r="C78" s="22">
        <f>'Budget vs. Actuals'!E95</f>
        <v>0</v>
      </c>
      <c r="D78" s="22">
        <f>'Budget vs. Actuals'!G95</f>
        <v>0</v>
      </c>
      <c r="E78" s="22">
        <f>'Budget vs. Actuals'!I95</f>
        <v>0</v>
      </c>
      <c r="F78" s="22">
        <f>'Budget vs. Actuals'!K95</f>
        <v>0</v>
      </c>
      <c r="G78" s="22">
        <f>'Budget vs. Actuals'!M95</f>
        <v>0</v>
      </c>
      <c r="H78" s="22">
        <f>'Budget vs. Actuals'!O95</f>
        <v>0</v>
      </c>
      <c r="I78" s="22">
        <f>'Budget vs. Actuals'!Q95</f>
        <v>0</v>
      </c>
      <c r="J78" s="22">
        <f>'Budget vs. Actuals'!S95</f>
        <v>0</v>
      </c>
      <c r="K78" s="22">
        <f>'Budget vs. Actuals'!U95</f>
        <v>0</v>
      </c>
      <c r="L78" s="22">
        <f>'Budget vs. Actuals'!W95</f>
        <v>0</v>
      </c>
      <c r="M78" s="22">
        <f>'Budget vs. Actuals'!Y95</f>
        <v>0</v>
      </c>
    </row>
    <row r="79" spans="1:13">
      <c r="A79" s="1" t="s">
        <v>43</v>
      </c>
      <c r="B79" s="22">
        <f>'Budget vs. Actuals'!C96</f>
        <v>0</v>
      </c>
      <c r="C79" s="22">
        <f>'Budget vs. Actuals'!E96</f>
        <v>0</v>
      </c>
      <c r="D79" s="22">
        <f>'Budget vs. Actuals'!G96</f>
        <v>0</v>
      </c>
      <c r="E79" s="22">
        <f>'Budget vs. Actuals'!I96</f>
        <v>0</v>
      </c>
      <c r="F79" s="22">
        <f>'Budget vs. Actuals'!K96</f>
        <v>0</v>
      </c>
      <c r="G79" s="22">
        <f>'Budget vs. Actuals'!M96</f>
        <v>0</v>
      </c>
      <c r="H79" s="22">
        <f>'Budget vs. Actuals'!O96</f>
        <v>0</v>
      </c>
      <c r="I79" s="22">
        <f>'Budget vs. Actuals'!Q96</f>
        <v>0</v>
      </c>
      <c r="J79" s="22">
        <f>'Budget vs. Actuals'!S96</f>
        <v>0</v>
      </c>
      <c r="K79" s="22">
        <f>'Budget vs. Actuals'!U96</f>
        <v>0</v>
      </c>
      <c r="L79" s="22">
        <f>'Budget vs. Actuals'!W96</f>
        <v>0</v>
      </c>
      <c r="M79" s="22">
        <f>'Budget vs. Actuals'!Y96</f>
        <v>0</v>
      </c>
    </row>
    <row r="80" spans="1:13">
      <c r="A80" s="1" t="s">
        <v>44</v>
      </c>
      <c r="B80" s="22">
        <f>'Budget vs. Actuals'!C97</f>
        <v>0</v>
      </c>
      <c r="C80" s="22">
        <f>'Budget vs. Actuals'!E97</f>
        <v>0</v>
      </c>
      <c r="D80" s="22">
        <f>'Budget vs. Actuals'!G97</f>
        <v>0</v>
      </c>
      <c r="E80" s="22">
        <f>'Budget vs. Actuals'!I97</f>
        <v>0.81162500000000004</v>
      </c>
      <c r="F80" s="22">
        <f>'Budget vs. Actuals'!K97</f>
        <v>0</v>
      </c>
      <c r="G80" s="22">
        <f>'Budget vs. Actuals'!M97</f>
        <v>0</v>
      </c>
      <c r="H80" s="22">
        <f>'Budget vs. Actuals'!O97</f>
        <v>8.4536249999999993E-2</v>
      </c>
      <c r="I80" s="22">
        <f>'Budget vs. Actuals'!Q97</f>
        <v>0</v>
      </c>
      <c r="J80" s="22">
        <f>'Budget vs. Actuals'!S97</f>
        <v>0</v>
      </c>
      <c r="K80" s="22">
        <f>'Budget vs. Actuals'!U97</f>
        <v>0</v>
      </c>
      <c r="L80" s="22">
        <f>'Budget vs. Actuals'!W97</f>
        <v>0</v>
      </c>
      <c r="M80" s="22">
        <f>'Budget vs. Actuals'!Y97</f>
        <v>0</v>
      </c>
    </row>
    <row r="81" spans="1:13">
      <c r="A81" s="1" t="s">
        <v>45</v>
      </c>
      <c r="B81" s="22">
        <f>'Budget vs. Actuals'!C98</f>
        <v>0</v>
      </c>
      <c r="C81" s="22">
        <f>'Budget vs. Actuals'!E98</f>
        <v>1.7599999999999998E-2</v>
      </c>
      <c r="D81" s="22">
        <f>'Budget vs. Actuals'!G98</f>
        <v>0.49117333333333335</v>
      </c>
      <c r="E81" s="22">
        <f>'Budget vs. Actuals'!I98</f>
        <v>0</v>
      </c>
      <c r="F81" s="22">
        <f>'Budget vs. Actuals'!K98</f>
        <v>0</v>
      </c>
      <c r="G81" s="22">
        <f>'Budget vs. Actuals'!M98</f>
        <v>0</v>
      </c>
      <c r="H81" s="22">
        <f>'Budget vs. Actuals'!O98</f>
        <v>0</v>
      </c>
      <c r="I81" s="22">
        <f>'Budget vs. Actuals'!Q98</f>
        <v>0</v>
      </c>
      <c r="J81" s="22">
        <f>'Budget vs. Actuals'!S98</f>
        <v>0</v>
      </c>
      <c r="K81" s="22">
        <f>'Budget vs. Actuals'!U98</f>
        <v>0</v>
      </c>
      <c r="L81" s="22">
        <f>'Budget vs. Actuals'!W98</f>
        <v>0</v>
      </c>
      <c r="M81" s="22">
        <f>'Budget vs. Actuals'!Y98</f>
        <v>0</v>
      </c>
    </row>
    <row r="82" spans="1:13">
      <c r="A82" s="1" t="s">
        <v>46</v>
      </c>
      <c r="B82" s="22">
        <f>'Budget vs. Actuals'!C99</f>
        <v>8.0827027027027029E-2</v>
      </c>
      <c r="C82" s="22">
        <f>'Budget vs. Actuals'!E99</f>
        <v>0.11270432432432434</v>
      </c>
      <c r="D82" s="22">
        <f>'Budget vs. Actuals'!G99</f>
        <v>3.2027027027027026E-2</v>
      </c>
      <c r="E82" s="22">
        <f>'Budget vs. Actuals'!I99</f>
        <v>5.7756756756756754E-2</v>
      </c>
      <c r="F82" s="22">
        <f>'Budget vs. Actuals'!K99</f>
        <v>1.9515675675675678E-2</v>
      </c>
      <c r="G82" s="22">
        <f>'Budget vs. Actuals'!M99</f>
        <v>3.4054054054054053E-2</v>
      </c>
      <c r="H82" s="22">
        <f>'Budget vs. Actuals'!O99</f>
        <v>3.1891891891891892E-2</v>
      </c>
      <c r="I82" s="22">
        <f>'Budget vs. Actuals'!Q99</f>
        <v>0</v>
      </c>
      <c r="J82" s="22">
        <f>'Budget vs. Actuals'!S99</f>
        <v>0</v>
      </c>
      <c r="K82" s="22">
        <f>'Budget vs. Actuals'!U99</f>
        <v>0</v>
      </c>
      <c r="L82" s="22">
        <f>'Budget vs. Actuals'!W99</f>
        <v>0</v>
      </c>
      <c r="M82" s="22">
        <f>'Budget vs. Actuals'!Y99</f>
        <v>0</v>
      </c>
    </row>
    <row r="83" spans="1:13">
      <c r="A83" s="1" t="s">
        <v>47</v>
      </c>
      <c r="B83" s="22">
        <f>'Budget vs. Actuals'!C101</f>
        <v>0</v>
      </c>
      <c r="C83" s="22">
        <f>'Budget vs. Actuals'!E101</f>
        <v>6.1817432515969502E-2</v>
      </c>
      <c r="D83" s="22">
        <f>'Budget vs. Actuals'!G101</f>
        <v>0</v>
      </c>
      <c r="E83" s="22">
        <f>'Budget vs. Actuals'!I101</f>
        <v>6.1817432515969502E-2</v>
      </c>
      <c r="F83" s="22">
        <f>'Budget vs. Actuals'!K101</f>
        <v>0</v>
      </c>
      <c r="G83" s="22">
        <f>'Budget vs. Actuals'!M101</f>
        <v>0</v>
      </c>
      <c r="H83" s="22">
        <f>'Budget vs. Actuals'!O101</f>
        <v>6.1817432515969502E-2</v>
      </c>
      <c r="I83" s="22">
        <f>'Budget vs. Actuals'!Q101</f>
        <v>0</v>
      </c>
      <c r="J83" s="22">
        <f>'Budget vs. Actuals'!S101</f>
        <v>0</v>
      </c>
      <c r="K83" s="22">
        <f>'Budget vs. Actuals'!U101</f>
        <v>0</v>
      </c>
      <c r="L83" s="22">
        <f>'Budget vs. Actuals'!W101</f>
        <v>0</v>
      </c>
      <c r="M83" s="22">
        <f>'Budget vs. Actuals'!Y101</f>
        <v>0</v>
      </c>
    </row>
    <row r="84" spans="1:13">
      <c r="A84" s="1" t="s">
        <v>48</v>
      </c>
      <c r="B84" s="22">
        <f>'Budget vs. Actuals'!C103</f>
        <v>0</v>
      </c>
      <c r="C84" s="22">
        <f>'Budget vs. Actuals'!E103</f>
        <v>0</v>
      </c>
      <c r="D84" s="22">
        <f>'Budget vs. Actuals'!G103</f>
        <v>0</v>
      </c>
      <c r="E84" s="22">
        <f>'Budget vs. Actuals'!I103</f>
        <v>0</v>
      </c>
      <c r="F84" s="22">
        <f>'Budget vs. Actuals'!K103</f>
        <v>0</v>
      </c>
      <c r="G84" s="22">
        <f>'Budget vs. Actuals'!M103</f>
        <v>0</v>
      </c>
      <c r="H84" s="22">
        <f>'Budget vs. Actuals'!O103</f>
        <v>0</v>
      </c>
      <c r="I84" s="22">
        <f>'Budget vs. Actuals'!Q103</f>
        <v>0</v>
      </c>
      <c r="J84" s="22">
        <f>'Budget vs. Actuals'!S103</f>
        <v>0</v>
      </c>
      <c r="K84" s="22">
        <f>'Budget vs. Actuals'!U103</f>
        <v>0</v>
      </c>
      <c r="L84" s="22">
        <f>'Budget vs. Actuals'!W103</f>
        <v>0</v>
      </c>
      <c r="M84" s="22">
        <f>'Budget vs. Actuals'!Y103</f>
        <v>0</v>
      </c>
    </row>
    <row r="85" spans="1:13">
      <c r="A85" s="1" t="s">
        <v>49</v>
      </c>
      <c r="B85" s="22">
        <f>'Budget vs. Actuals'!C104</f>
        <v>0</v>
      </c>
      <c r="C85" s="22">
        <f>'Budget vs. Actuals'!E104</f>
        <v>0</v>
      </c>
      <c r="D85" s="22">
        <f>'Budget vs. Actuals'!G104</f>
        <v>0</v>
      </c>
      <c r="E85" s="22">
        <f>'Budget vs. Actuals'!I104</f>
        <v>0</v>
      </c>
      <c r="F85" s="22">
        <f>'Budget vs. Actuals'!K104</f>
        <v>0</v>
      </c>
      <c r="G85" s="22">
        <f>'Budget vs. Actuals'!M104</f>
        <v>0</v>
      </c>
      <c r="H85" s="22">
        <f>'Budget vs. Actuals'!O104</f>
        <v>0</v>
      </c>
      <c r="I85" s="22">
        <f>'Budget vs. Actuals'!Q104</f>
        <v>0</v>
      </c>
      <c r="J85" s="22">
        <f>'Budget vs. Actuals'!S104</f>
        <v>0</v>
      </c>
      <c r="K85" s="22">
        <f>'Budget vs. Actuals'!U104</f>
        <v>0</v>
      </c>
      <c r="L85" s="22">
        <f>'Budget vs. Actuals'!W104</f>
        <v>0</v>
      </c>
      <c r="M85" s="22">
        <f>'Budget vs. Actuals'!Y104</f>
        <v>0</v>
      </c>
    </row>
    <row r="86" spans="1:13">
      <c r="A86" s="1" t="s">
        <v>50</v>
      </c>
      <c r="B86" s="22">
        <f>'Budget vs. Actuals'!C105</f>
        <v>8.3333333333333329E-2</v>
      </c>
      <c r="C86" s="22">
        <f>'Budget vs. Actuals'!E105</f>
        <v>0</v>
      </c>
      <c r="D86" s="22">
        <f>'Budget vs. Actuals'!G105</f>
        <v>0</v>
      </c>
      <c r="E86" s="22">
        <f>'Budget vs. Actuals'!I105</f>
        <v>0</v>
      </c>
      <c r="F86" s="22">
        <f>'Budget vs. Actuals'!K105</f>
        <v>0.52083333333333337</v>
      </c>
      <c r="G86" s="22">
        <f>'Budget vs. Actuals'!M105</f>
        <v>0</v>
      </c>
      <c r="H86" s="22">
        <f>'Budget vs. Actuals'!O105</f>
        <v>0</v>
      </c>
      <c r="I86" s="22">
        <f>'Budget vs. Actuals'!Q105</f>
        <v>0</v>
      </c>
      <c r="J86" s="22">
        <f>'Budget vs. Actuals'!S105</f>
        <v>0</v>
      </c>
      <c r="K86" s="22">
        <f>'Budget vs. Actuals'!U105</f>
        <v>0</v>
      </c>
      <c r="L86" s="22">
        <f>'Budget vs. Actuals'!W105</f>
        <v>0</v>
      </c>
      <c r="M86" s="22">
        <f>'Budget vs. Actuals'!Y105</f>
        <v>0</v>
      </c>
    </row>
    <row r="87" spans="1:13">
      <c r="A87" s="1" t="s">
        <v>51</v>
      </c>
      <c r="B87" s="22">
        <f>'Budget vs. Actuals'!C106</f>
        <v>0</v>
      </c>
      <c r="C87" s="22">
        <f>'Budget vs. Actuals'!E106</f>
        <v>0</v>
      </c>
      <c r="D87" s="22">
        <f>'Budget vs. Actuals'!G106</f>
        <v>0</v>
      </c>
      <c r="E87" s="22">
        <f>'Budget vs. Actuals'!I106</f>
        <v>0</v>
      </c>
      <c r="F87" s="22">
        <f>'Budget vs. Actuals'!K106</f>
        <v>1</v>
      </c>
      <c r="G87" s="22">
        <f>'Budget vs. Actuals'!M106</f>
        <v>0</v>
      </c>
      <c r="H87" s="22">
        <f>'Budget vs. Actuals'!O106</f>
        <v>0</v>
      </c>
      <c r="I87" s="22">
        <f>'Budget vs. Actuals'!Q106</f>
        <v>0</v>
      </c>
      <c r="J87" s="22">
        <f>'Budget vs. Actuals'!S106</f>
        <v>0</v>
      </c>
      <c r="K87" s="22">
        <f>'Budget vs. Actuals'!U106</f>
        <v>0</v>
      </c>
      <c r="L87" s="22">
        <f>'Budget vs. Actuals'!W106</f>
        <v>0</v>
      </c>
      <c r="M87" s="22">
        <f>'Budget vs. Actuals'!Y106</f>
        <v>0</v>
      </c>
    </row>
    <row r="88" spans="1:13">
      <c r="A88" s="1" t="s">
        <v>52</v>
      </c>
      <c r="B88" s="22">
        <f>'Budget vs. Actuals'!C107</f>
        <v>0.34680000000000005</v>
      </c>
      <c r="C88" s="22">
        <f>'Budget vs. Actuals'!E107</f>
        <v>0</v>
      </c>
      <c r="D88" s="22">
        <f>'Budget vs. Actuals'!G107</f>
        <v>0</v>
      </c>
      <c r="E88" s="22">
        <f>'Budget vs. Actuals'!I107</f>
        <v>0</v>
      </c>
      <c r="F88" s="22">
        <f>'Budget vs. Actuals'!K107</f>
        <v>0</v>
      </c>
      <c r="G88" s="22">
        <f>'Budget vs. Actuals'!M107</f>
        <v>0</v>
      </c>
      <c r="H88" s="22">
        <f>'Budget vs. Actuals'!O107</f>
        <v>0</v>
      </c>
      <c r="I88" s="22">
        <f>'Budget vs. Actuals'!Q107</f>
        <v>0</v>
      </c>
      <c r="J88" s="22">
        <f>'Budget vs. Actuals'!S107</f>
        <v>0</v>
      </c>
      <c r="K88" s="22">
        <f>'Budget vs. Actuals'!U107</f>
        <v>0</v>
      </c>
      <c r="L88" s="22">
        <f>'Budget vs. Actuals'!W107</f>
        <v>0</v>
      </c>
      <c r="M88" s="22">
        <f>'Budget vs. Actuals'!Y107</f>
        <v>0</v>
      </c>
    </row>
    <row r="89" spans="1:13">
      <c r="A89" s="1" t="s">
        <v>53</v>
      </c>
      <c r="B89" s="22">
        <f>'Budget vs. Actuals'!C111</f>
        <v>5.6782024865789218E-2</v>
      </c>
      <c r="C89" s="22">
        <f>'Budget vs. Actuals'!E111</f>
        <v>6.302594508220849E-2</v>
      </c>
      <c r="D89" s="22">
        <f>'Budget vs. Actuals'!G111</f>
        <v>2.693691041868158E-2</v>
      </c>
      <c r="E89" s="22">
        <f>'Budget vs. Actuals'!I111</f>
        <v>0.1251699536044181</v>
      </c>
      <c r="F89" s="22">
        <f>'Budget vs. Actuals'!K111</f>
        <v>0.15204126543599231</v>
      </c>
      <c r="G89" s="22">
        <f>'Budget vs. Actuals'!M111</f>
        <v>1.7661158067364704E-2</v>
      </c>
      <c r="H89" s="22">
        <f>'Budget vs. Actuals'!O111</f>
        <v>3.0224268673871298E-2</v>
      </c>
      <c r="I89" s="22">
        <f>'Budget vs. Actuals'!Q111</f>
        <v>0</v>
      </c>
      <c r="J89" s="22">
        <f>'Budget vs. Actuals'!S111</f>
        <v>0</v>
      </c>
      <c r="K89" s="22">
        <f>'Budget vs. Actuals'!U111</f>
        <v>0</v>
      </c>
      <c r="L89" s="22">
        <f>'Budget vs. Actuals'!W111</f>
        <v>0</v>
      </c>
      <c r="M89" s="22">
        <f>'Budget vs. Actuals'!Y111</f>
        <v>0</v>
      </c>
    </row>
    <row r="90" spans="1:13">
      <c r="A90" s="1" t="s">
        <v>54</v>
      </c>
      <c r="B90" s="22">
        <f>'Budget vs. Actuals'!C112</f>
        <v>0</v>
      </c>
      <c r="C90" s="22">
        <f>'Budget vs. Actuals'!E112</f>
        <v>0</v>
      </c>
      <c r="D90" s="22">
        <f>'Budget vs. Actuals'!G112</f>
        <v>0</v>
      </c>
      <c r="E90" s="22">
        <f>'Budget vs. Actuals'!I112</f>
        <v>0</v>
      </c>
      <c r="F90" s="22">
        <f>'Budget vs. Actuals'!K112</f>
        <v>0</v>
      </c>
      <c r="G90" s="22">
        <f>'Budget vs. Actuals'!M112</f>
        <v>0</v>
      </c>
      <c r="H90" s="22">
        <f>'Budget vs. Actuals'!O112</f>
        <v>0</v>
      </c>
      <c r="I90" s="22">
        <f>'Budget vs. Actuals'!Q112</f>
        <v>0</v>
      </c>
      <c r="J90" s="22">
        <f>'Budget vs. Actuals'!S112</f>
        <v>0</v>
      </c>
      <c r="K90" s="22">
        <f>'Budget vs. Actuals'!U112</f>
        <v>0</v>
      </c>
      <c r="L90" s="22">
        <f>'Budget vs. Actuals'!W112</f>
        <v>0</v>
      </c>
      <c r="M90" s="22">
        <f>'Budget vs. Actuals'!Y112</f>
        <v>0</v>
      </c>
    </row>
    <row r="91" spans="1:13">
      <c r="A91" s="1" t="s">
        <v>55</v>
      </c>
      <c r="B91" s="22">
        <f>'Budget vs. Actuals'!C113</f>
        <v>5.0104328523862374E-2</v>
      </c>
      <c r="C91" s="22">
        <f>'Budget vs. Actuals'!E113</f>
        <v>0</v>
      </c>
      <c r="D91" s="22">
        <f>'Budget vs. Actuals'!G113</f>
        <v>0.2997891231964484</v>
      </c>
      <c r="E91" s="22">
        <f>'Budget vs. Actuals'!I113</f>
        <v>0</v>
      </c>
      <c r="F91" s="22">
        <f>'Budget vs. Actuals'!K113</f>
        <v>0.34551942286348497</v>
      </c>
      <c r="G91" s="22">
        <f>'Budget vs. Actuals'!M113</f>
        <v>0</v>
      </c>
      <c r="H91" s="22">
        <f>'Budget vs. Actuals'!O113</f>
        <v>0.2834041805401406</v>
      </c>
      <c r="I91" s="22">
        <f>'Budget vs. Actuals'!Q113</f>
        <v>0</v>
      </c>
      <c r="J91" s="22">
        <f>'Budget vs. Actuals'!S113</f>
        <v>0</v>
      </c>
      <c r="K91" s="22">
        <f>'Budget vs. Actuals'!U113</f>
        <v>0</v>
      </c>
      <c r="L91" s="22">
        <f>'Budget vs. Actuals'!W113</f>
        <v>0</v>
      </c>
      <c r="M91" s="22">
        <f>'Budget vs. Actuals'!Y113</f>
        <v>0</v>
      </c>
    </row>
    <row r="92" spans="1:13">
      <c r="A92" s="1" t="s">
        <v>56</v>
      </c>
      <c r="B92" s="22">
        <f>'Budget vs. Actuals'!C114</f>
        <v>0</v>
      </c>
      <c r="C92" s="22">
        <f>'Budget vs. Actuals'!E114</f>
        <v>0.99107692307692308</v>
      </c>
      <c r="D92" s="22">
        <f>'Budget vs. Actuals'!G114</f>
        <v>0</v>
      </c>
      <c r="E92" s="22">
        <f>'Budget vs. Actuals'!I114</f>
        <v>0</v>
      </c>
      <c r="F92" s="22">
        <f>'Budget vs. Actuals'!K114</f>
        <v>0</v>
      </c>
      <c r="G92" s="22">
        <f>'Budget vs. Actuals'!M114</f>
        <v>0</v>
      </c>
      <c r="H92" s="22">
        <f>'Budget vs. Actuals'!O114</f>
        <v>0</v>
      </c>
      <c r="I92" s="22">
        <f>'Budget vs. Actuals'!Q114</f>
        <v>0</v>
      </c>
      <c r="J92" s="22">
        <f>'Budget vs. Actuals'!S114</f>
        <v>0</v>
      </c>
      <c r="K92" s="22">
        <f>'Budget vs. Actuals'!U114</f>
        <v>0</v>
      </c>
      <c r="L92" s="22">
        <f>'Budget vs. Actuals'!W114</f>
        <v>0</v>
      </c>
      <c r="M92" s="22">
        <f>'Budget vs. Actuals'!Y114</f>
        <v>0</v>
      </c>
    </row>
    <row r="93" spans="1:13">
      <c r="A93" s="1" t="s">
        <v>57</v>
      </c>
      <c r="B93" s="22">
        <f>'Budget vs. Actuals'!C115</f>
        <v>0</v>
      </c>
      <c r="C93" s="22">
        <f>'Budget vs. Actuals'!E115</f>
        <v>0</v>
      </c>
      <c r="D93" s="22">
        <f>'Budget vs. Actuals'!G115</f>
        <v>0</v>
      </c>
      <c r="E93" s="22">
        <f>'Budget vs. Actuals'!I115</f>
        <v>0</v>
      </c>
      <c r="F93" s="22">
        <f>'Budget vs. Actuals'!K115</f>
        <v>0</v>
      </c>
      <c r="G93" s="22">
        <f>'Budget vs. Actuals'!M115</f>
        <v>0</v>
      </c>
      <c r="H93" s="22">
        <f>'Budget vs. Actuals'!O115</f>
        <v>0</v>
      </c>
      <c r="I93" s="22">
        <f>'Budget vs. Actuals'!Q115</f>
        <v>0</v>
      </c>
      <c r="J93" s="22">
        <f>'Budget vs. Actuals'!S115</f>
        <v>0</v>
      </c>
      <c r="K93" s="22">
        <f>'Budget vs. Actuals'!U115</f>
        <v>0</v>
      </c>
      <c r="L93" s="22">
        <f>'Budget vs. Actuals'!W115</f>
        <v>0</v>
      </c>
      <c r="M93" s="22">
        <f>'Budget vs. Actuals'!Y115</f>
        <v>0</v>
      </c>
    </row>
    <row r="94" spans="1:13">
      <c r="A94" s="1" t="s">
        <v>58</v>
      </c>
      <c r="B94" s="22">
        <f>'Budget vs. Actuals'!C117</f>
        <v>1</v>
      </c>
      <c r="C94" s="22">
        <f>'Budget vs. Actuals'!E117</f>
        <v>0</v>
      </c>
      <c r="D94" s="22">
        <f>'Budget vs. Actuals'!G117</f>
        <v>0</v>
      </c>
      <c r="E94" s="22">
        <f>'Budget vs. Actuals'!I117</f>
        <v>0</v>
      </c>
      <c r="F94" s="22">
        <f>'Budget vs. Actuals'!K117</f>
        <v>0</v>
      </c>
      <c r="G94" s="22">
        <f>'Budget vs. Actuals'!M117</f>
        <v>0</v>
      </c>
      <c r="H94" s="22">
        <f>'Budget vs. Actuals'!O117</f>
        <v>0</v>
      </c>
      <c r="I94" s="22">
        <f>'Budget vs. Actuals'!Q117</f>
        <v>0</v>
      </c>
      <c r="J94" s="22">
        <f>'Budget vs. Actuals'!S117</f>
        <v>0</v>
      </c>
      <c r="K94" s="22">
        <f>'Budget vs. Actuals'!U117</f>
        <v>0</v>
      </c>
      <c r="L94" s="22">
        <f>'Budget vs. Actuals'!W117</f>
        <v>0</v>
      </c>
      <c r="M94" s="22">
        <f>'Budget vs. Actuals'!Y117</f>
        <v>0</v>
      </c>
    </row>
    <row r="95" spans="1:13">
      <c r="A95" s="1" t="s">
        <v>59</v>
      </c>
      <c r="B95" s="22">
        <f>'Budget vs. Actuals'!C118</f>
        <v>0</v>
      </c>
      <c r="C95" s="22">
        <f>'Budget vs. Actuals'!E118</f>
        <v>0</v>
      </c>
      <c r="D95" s="22">
        <f>'Budget vs. Actuals'!G118</f>
        <v>0</v>
      </c>
      <c r="E95" s="22">
        <f>'Budget vs. Actuals'!I118</f>
        <v>0</v>
      </c>
      <c r="F95" s="22">
        <f>'Budget vs. Actuals'!K118</f>
        <v>0</v>
      </c>
      <c r="G95" s="22">
        <f>'Budget vs. Actuals'!M118</f>
        <v>0</v>
      </c>
      <c r="H95" s="22">
        <f>'Budget vs. Actuals'!O118</f>
        <v>0</v>
      </c>
      <c r="I95" s="22">
        <f>'Budget vs. Actuals'!Q118</f>
        <v>0</v>
      </c>
      <c r="J95" s="22">
        <f>'Budget vs. Actuals'!S118</f>
        <v>0</v>
      </c>
      <c r="K95" s="22">
        <f>'Budget vs. Actuals'!U118</f>
        <v>0</v>
      </c>
      <c r="L95" s="22">
        <f>'Budget vs. Actuals'!W118</f>
        <v>0</v>
      </c>
      <c r="M95" s="22">
        <f>'Budget vs. Actuals'!Y118</f>
        <v>0</v>
      </c>
    </row>
    <row r="96" spans="1:13">
      <c r="A96" s="1" t="s">
        <v>60</v>
      </c>
      <c r="B96" s="22">
        <f>'Budget vs. Actuals'!C119</f>
        <v>0</v>
      </c>
      <c r="C96" s="22">
        <f>'Budget vs. Actuals'!E119</f>
        <v>0</v>
      </c>
      <c r="D96" s="22">
        <f>'Budget vs. Actuals'!G119</f>
        <v>0</v>
      </c>
      <c r="E96" s="22">
        <f>'Budget vs. Actuals'!I119</f>
        <v>0</v>
      </c>
      <c r="F96" s="22">
        <f>'Budget vs. Actuals'!K119</f>
        <v>0</v>
      </c>
      <c r="G96" s="22">
        <f>'Budget vs. Actuals'!M119</f>
        <v>0</v>
      </c>
      <c r="H96" s="22">
        <f>'Budget vs. Actuals'!O119</f>
        <v>0</v>
      </c>
      <c r="I96" s="22">
        <f>'Budget vs. Actuals'!Q119</f>
        <v>0</v>
      </c>
      <c r="J96" s="22">
        <f>'Budget vs. Actuals'!S119</f>
        <v>0</v>
      </c>
      <c r="K96" s="22">
        <f>'Budget vs. Actuals'!U119</f>
        <v>0</v>
      </c>
      <c r="L96" s="22">
        <f>'Budget vs. Actuals'!W119</f>
        <v>0</v>
      </c>
      <c r="M96" s="22">
        <f>'Budget vs. Actuals'!Y119</f>
        <v>0</v>
      </c>
    </row>
    <row r="97" spans="1:13">
      <c r="A97" s="1" t="s">
        <v>61</v>
      </c>
      <c r="B97" s="22">
        <f>'Budget vs. Actuals'!C122</f>
        <v>0.39476039136170843</v>
      </c>
      <c r="C97" s="22">
        <f>'Budget vs. Actuals'!E122</f>
        <v>1.3154953632362052E-2</v>
      </c>
      <c r="D97" s="22">
        <f>'Budget vs. Actuals'!G122</f>
        <v>6.6189714851983494E-2</v>
      </c>
      <c r="E97" s="22">
        <f>'Budget vs. Actuals'!I122</f>
        <v>0</v>
      </c>
      <c r="F97" s="22">
        <f>'Budget vs. Actuals'!K122</f>
        <v>7.6286397022381755E-2</v>
      </c>
      <c r="G97" s="22">
        <f>'Budget vs. Actuals'!M122</f>
        <v>0</v>
      </c>
      <c r="H97" s="22">
        <f>'Budget vs. Actuals'!O122</f>
        <v>6.2572123023688767E-2</v>
      </c>
      <c r="I97" s="22">
        <f>'Budget vs. Actuals'!Q122</f>
        <v>0</v>
      </c>
      <c r="J97" s="22">
        <f>'Budget vs. Actuals'!S122</f>
        <v>0</v>
      </c>
      <c r="K97" s="22">
        <f>'Budget vs. Actuals'!U122</f>
        <v>0</v>
      </c>
      <c r="L97" s="22">
        <f>'Budget vs. Actuals'!W122</f>
        <v>0</v>
      </c>
      <c r="M97" s="22">
        <f>'Budget vs. Actuals'!Y122</f>
        <v>0</v>
      </c>
    </row>
    <row r="98" spans="1:13">
      <c r="A98" s="1" t="s">
        <v>62</v>
      </c>
      <c r="B98" s="22">
        <f>'Budget vs. Actuals'!C123</f>
        <v>0</v>
      </c>
      <c r="C98" s="22">
        <f>'Budget vs. Actuals'!E123</f>
        <v>0</v>
      </c>
      <c r="D98" s="22">
        <f>'Budget vs. Actuals'!G123</f>
        <v>0</v>
      </c>
      <c r="E98" s="22">
        <f>'Budget vs. Actuals'!I123</f>
        <v>0</v>
      </c>
      <c r="F98" s="22">
        <f>'Budget vs. Actuals'!K123</f>
        <v>0</v>
      </c>
      <c r="G98" s="22">
        <f>'Budget vs. Actuals'!M123</f>
        <v>0</v>
      </c>
      <c r="H98" s="22">
        <f>'Budget vs. Actuals'!O123</f>
        <v>0</v>
      </c>
      <c r="I98" s="22">
        <f>'Budget vs. Actuals'!Q123</f>
        <v>0</v>
      </c>
      <c r="J98" s="22">
        <f>'Budget vs. Actuals'!S123</f>
        <v>0</v>
      </c>
      <c r="K98" s="22">
        <f>'Budget vs. Actuals'!U123</f>
        <v>0</v>
      </c>
      <c r="L98" s="22">
        <f>'Budget vs. Actuals'!W123</f>
        <v>0</v>
      </c>
      <c r="M98" s="22">
        <f>'Budget vs. Actuals'!Y123</f>
        <v>0</v>
      </c>
    </row>
    <row r="99" spans="1:13">
      <c r="A99" s="1" t="s">
        <v>63</v>
      </c>
      <c r="B99" s="22">
        <f>'Budget vs. Actuals'!C124</f>
        <v>0</v>
      </c>
      <c r="C99" s="22">
        <f>'Budget vs. Actuals'!E124</f>
        <v>0</v>
      </c>
      <c r="D99" s="22">
        <f>'Budget vs. Actuals'!G124</f>
        <v>0</v>
      </c>
      <c r="E99" s="22">
        <f>'Budget vs. Actuals'!I124</f>
        <v>0</v>
      </c>
      <c r="F99" s="22">
        <f>'Budget vs. Actuals'!K124</f>
        <v>0</v>
      </c>
      <c r="G99" s="22">
        <f>'Budget vs. Actuals'!M124</f>
        <v>0</v>
      </c>
      <c r="H99" s="22">
        <f>'Budget vs. Actuals'!O124</f>
        <v>0</v>
      </c>
      <c r="I99" s="22">
        <f>'Budget vs. Actuals'!Q124</f>
        <v>0</v>
      </c>
      <c r="J99" s="22">
        <f>'Budget vs. Actuals'!S124</f>
        <v>0</v>
      </c>
      <c r="K99" s="22">
        <f>'Budget vs. Actuals'!U124</f>
        <v>0</v>
      </c>
      <c r="L99" s="22">
        <f>'Budget vs. Actuals'!W124</f>
        <v>0</v>
      </c>
      <c r="M99" s="22">
        <f>'Budget vs. Actuals'!Y124</f>
        <v>0</v>
      </c>
    </row>
    <row r="100" spans="1:13">
      <c r="A100" s="1" t="s">
        <v>64</v>
      </c>
      <c r="B100" s="22">
        <f>'Budget vs. Actuals'!C125</f>
        <v>0</v>
      </c>
      <c r="C100" s="22">
        <f>'Budget vs. Actuals'!E125</f>
        <v>0</v>
      </c>
      <c r="D100" s="22">
        <f>'Budget vs. Actuals'!G125</f>
        <v>0</v>
      </c>
      <c r="E100" s="22">
        <f>'Budget vs. Actuals'!I125</f>
        <v>0</v>
      </c>
      <c r="F100" s="22">
        <f>'Budget vs. Actuals'!K125</f>
        <v>0</v>
      </c>
      <c r="G100" s="22">
        <f>'Budget vs. Actuals'!M125</f>
        <v>1</v>
      </c>
      <c r="H100" s="22">
        <f>'Budget vs. Actuals'!O125</f>
        <v>0</v>
      </c>
      <c r="I100" s="22">
        <f>'Budget vs. Actuals'!Q125</f>
        <v>0</v>
      </c>
      <c r="J100" s="22">
        <f>'Budget vs. Actuals'!S125</f>
        <v>0</v>
      </c>
      <c r="K100" s="22">
        <f>'Budget vs. Actuals'!U125</f>
        <v>0</v>
      </c>
      <c r="L100" s="22">
        <f>'Budget vs. Actuals'!W125</f>
        <v>0</v>
      </c>
      <c r="M100" s="22">
        <f>'Budget vs. Actuals'!Y125</f>
        <v>0</v>
      </c>
    </row>
    <row r="101" spans="1:13">
      <c r="A101" s="1" t="s">
        <v>65</v>
      </c>
      <c r="B101" s="22">
        <f>'Budget vs. Actuals'!C126</f>
        <v>0</v>
      </c>
      <c r="C101" s="22">
        <f>'Budget vs. Actuals'!E126</f>
        <v>0</v>
      </c>
      <c r="D101" s="22">
        <f>'Budget vs. Actuals'!G126</f>
        <v>0</v>
      </c>
      <c r="E101" s="22">
        <f>'Budget vs. Actuals'!I126</f>
        <v>0</v>
      </c>
      <c r="F101" s="22">
        <f>'Budget vs. Actuals'!K126</f>
        <v>0</v>
      </c>
      <c r="G101" s="22">
        <f>'Budget vs. Actuals'!M126</f>
        <v>0</v>
      </c>
      <c r="H101" s="22">
        <f>'Budget vs. Actuals'!O126</f>
        <v>0</v>
      </c>
      <c r="I101" s="22">
        <f>'Budget vs. Actuals'!Q126</f>
        <v>0</v>
      </c>
      <c r="J101" s="22">
        <f>'Budget vs. Actuals'!S126</f>
        <v>0</v>
      </c>
      <c r="K101" s="22">
        <f>'Budget vs. Actuals'!U126</f>
        <v>0</v>
      </c>
      <c r="L101" s="22">
        <f>'Budget vs. Actuals'!W126</f>
        <v>0</v>
      </c>
      <c r="M101" s="22">
        <f>'Budget vs. Actuals'!Y126</f>
        <v>0</v>
      </c>
    </row>
    <row r="102" spans="1:13">
      <c r="A102" s="1" t="s">
        <v>66</v>
      </c>
      <c r="B102" s="22">
        <f>'Budget vs. Actuals'!C127</f>
        <v>0</v>
      </c>
      <c r="C102" s="22">
        <f>'Budget vs. Actuals'!E127</f>
        <v>0.44800000000000001</v>
      </c>
      <c r="D102" s="22">
        <f>'Budget vs. Actuals'!G127</f>
        <v>0</v>
      </c>
      <c r="E102" s="22">
        <f>'Budget vs. Actuals'!I127</f>
        <v>0</v>
      </c>
      <c r="F102" s="22">
        <f>'Budget vs. Actuals'!K127</f>
        <v>0</v>
      </c>
      <c r="G102" s="22">
        <f>'Budget vs. Actuals'!M127</f>
        <v>0</v>
      </c>
      <c r="H102" s="22">
        <f>'Budget vs. Actuals'!O127</f>
        <v>0</v>
      </c>
      <c r="I102" s="22">
        <f>'Budget vs. Actuals'!Q127</f>
        <v>0</v>
      </c>
      <c r="J102" s="22">
        <f>'Budget vs. Actuals'!S127</f>
        <v>0</v>
      </c>
      <c r="K102" s="22">
        <f>'Budget vs. Actuals'!U127</f>
        <v>0</v>
      </c>
      <c r="L102" s="22">
        <f>'Budget vs. Actuals'!W127</f>
        <v>0</v>
      </c>
      <c r="M102" s="22">
        <f>'Budget vs. Actuals'!Y127</f>
        <v>0</v>
      </c>
    </row>
    <row r="103" spans="1:13">
      <c r="A103" s="1" t="s">
        <v>67</v>
      </c>
      <c r="B103" s="22">
        <f>'Budget vs. Actuals'!C128</f>
        <v>0</v>
      </c>
      <c r="C103" s="22">
        <f>'Budget vs. Actuals'!E128</f>
        <v>2.4888888888888887E-2</v>
      </c>
      <c r="D103" s="22">
        <f>'Budget vs. Actuals'!G128</f>
        <v>0</v>
      </c>
      <c r="E103" s="22">
        <f>'Budget vs. Actuals'!I128</f>
        <v>0</v>
      </c>
      <c r="F103" s="22">
        <f>'Budget vs. Actuals'!K128</f>
        <v>0</v>
      </c>
      <c r="G103" s="22">
        <f>'Budget vs. Actuals'!M128</f>
        <v>0.22222222222222221</v>
      </c>
      <c r="H103" s="22">
        <f>'Budget vs. Actuals'!O128</f>
        <v>0</v>
      </c>
      <c r="I103" s="22">
        <f>'Budget vs. Actuals'!Q128</f>
        <v>0</v>
      </c>
      <c r="J103" s="22">
        <f>'Budget vs. Actuals'!S128</f>
        <v>0</v>
      </c>
      <c r="K103" s="22">
        <f>'Budget vs. Actuals'!U128</f>
        <v>0</v>
      </c>
      <c r="L103" s="22">
        <f>'Budget vs. Actuals'!W128</f>
        <v>0</v>
      </c>
      <c r="M103" s="22">
        <f>'Budget vs. Actuals'!Y128</f>
        <v>0</v>
      </c>
    </row>
    <row r="104" spans="1:13">
      <c r="A104" s="1" t="s">
        <v>68</v>
      </c>
      <c r="B104" s="22">
        <f>'Budget vs. Actuals'!C129</f>
        <v>0</v>
      </c>
      <c r="C104" s="22">
        <f>'Budget vs. Actuals'!E129</f>
        <v>0</v>
      </c>
      <c r="D104" s="22">
        <f>'Budget vs. Actuals'!G129</f>
        <v>0</v>
      </c>
      <c r="E104" s="22">
        <f>'Budget vs. Actuals'!I129</f>
        <v>0</v>
      </c>
      <c r="F104" s="22">
        <f>'Budget vs. Actuals'!K129</f>
        <v>0</v>
      </c>
      <c r="G104" s="22">
        <f>'Budget vs. Actuals'!M129</f>
        <v>0</v>
      </c>
      <c r="H104" s="22">
        <f>'Budget vs. Actuals'!O129</f>
        <v>0</v>
      </c>
      <c r="I104" s="22">
        <f>'Budget vs. Actuals'!Q129</f>
        <v>0</v>
      </c>
      <c r="J104" s="22">
        <f>'Budget vs. Actuals'!S129</f>
        <v>0</v>
      </c>
      <c r="K104" s="22">
        <f>'Budget vs. Actuals'!U129</f>
        <v>0</v>
      </c>
      <c r="L104" s="22">
        <f>'Budget vs. Actuals'!W129</f>
        <v>0</v>
      </c>
      <c r="M104" s="22">
        <f>'Budget vs. Actuals'!Y129</f>
        <v>0</v>
      </c>
    </row>
    <row r="105" spans="1:13">
      <c r="A105" s="1" t="s">
        <v>69</v>
      </c>
      <c r="B105" s="22">
        <f>'Budget vs. Actuals'!C130</f>
        <v>0</v>
      </c>
      <c r="C105" s="22">
        <f>'Budget vs. Actuals'!E130</f>
        <v>0</v>
      </c>
      <c r="D105" s="22">
        <f>'Budget vs. Actuals'!G130</f>
        <v>0</v>
      </c>
      <c r="E105" s="22">
        <f>'Budget vs. Actuals'!I130</f>
        <v>0</v>
      </c>
      <c r="F105" s="22">
        <f>'Budget vs. Actuals'!K130</f>
        <v>0</v>
      </c>
      <c r="G105" s="22">
        <f>'Budget vs. Actuals'!M130</f>
        <v>0</v>
      </c>
      <c r="H105" s="22">
        <f>'Budget vs. Actuals'!O130</f>
        <v>0</v>
      </c>
      <c r="I105" s="22">
        <f>'Budget vs. Actuals'!Q130</f>
        <v>0</v>
      </c>
      <c r="J105" s="22">
        <f>'Budget vs. Actuals'!S130</f>
        <v>0</v>
      </c>
      <c r="K105" s="22">
        <f>'Budget vs. Actuals'!U130</f>
        <v>0</v>
      </c>
      <c r="L105" s="22">
        <f>'Budget vs. Actuals'!W130</f>
        <v>0</v>
      </c>
      <c r="M105" s="22">
        <f>'Budget vs. Actuals'!Y130</f>
        <v>0</v>
      </c>
    </row>
    <row r="106" spans="1:13">
      <c r="A106" s="1" t="s">
        <v>89</v>
      </c>
      <c r="B106" s="22">
        <f>'Budget vs. Actuals'!C132</f>
        <v>0</v>
      </c>
      <c r="C106" s="22">
        <f>'Budget vs. Actuals'!E132</f>
        <v>0</v>
      </c>
      <c r="D106" s="22">
        <f>'Budget vs. Actuals'!G132</f>
        <v>0</v>
      </c>
      <c r="E106" s="22">
        <f>'Budget vs. Actuals'!I132</f>
        <v>0</v>
      </c>
      <c r="F106" s="22">
        <f>'Budget vs. Actuals'!K132</f>
        <v>0</v>
      </c>
      <c r="G106" s="22">
        <f>'Budget vs. Actuals'!M132</f>
        <v>0</v>
      </c>
      <c r="H106" s="22">
        <f>'Budget vs. Actuals'!O132</f>
        <v>0</v>
      </c>
      <c r="I106" s="22">
        <f>'Budget vs. Actuals'!Q132</f>
        <v>0</v>
      </c>
      <c r="J106" s="22">
        <f>'Budget vs. Actuals'!S132</f>
        <v>0</v>
      </c>
      <c r="K106" s="22">
        <f>'Budget vs. Actuals'!U132</f>
        <v>0</v>
      </c>
      <c r="L106" s="22">
        <f>'Budget vs. Actuals'!W132</f>
        <v>0</v>
      </c>
      <c r="M106" s="22">
        <f>'Budget vs. Actuals'!Y132</f>
        <v>0</v>
      </c>
    </row>
    <row r="107" spans="1:13">
      <c r="A107" s="1" t="s">
        <v>90</v>
      </c>
      <c r="B107" s="22">
        <f>'Budget vs. Actuals'!C133</f>
        <v>0</v>
      </c>
      <c r="C107" s="22">
        <f>'Budget vs. Actuals'!E133</f>
        <v>0</v>
      </c>
      <c r="D107" s="22">
        <f>'Budget vs. Actuals'!G133</f>
        <v>0</v>
      </c>
      <c r="E107" s="22">
        <f>'Budget vs. Actuals'!I133</f>
        <v>0</v>
      </c>
      <c r="F107" s="22">
        <f>'Budget vs. Actuals'!K133</f>
        <v>0</v>
      </c>
      <c r="G107" s="22">
        <f>'Budget vs. Actuals'!M133</f>
        <v>0</v>
      </c>
      <c r="H107" s="22">
        <f>'Budget vs. Actuals'!O133</f>
        <v>0</v>
      </c>
      <c r="I107" s="22">
        <f>'Budget vs. Actuals'!Q133</f>
        <v>0</v>
      </c>
      <c r="J107" s="22">
        <f>'Budget vs. Actuals'!S133</f>
        <v>0</v>
      </c>
      <c r="K107" s="22">
        <f>'Budget vs. Actuals'!U133</f>
        <v>0</v>
      </c>
      <c r="L107" s="22">
        <f>'Budget vs. Actuals'!W133</f>
        <v>0</v>
      </c>
      <c r="M107" s="22">
        <f>'Budget vs. Actuals'!Y133</f>
        <v>0</v>
      </c>
    </row>
    <row r="108" spans="1:13">
      <c r="A108" s="1" t="s">
        <v>91</v>
      </c>
      <c r="B108" s="22">
        <f>'Budget vs. Actuals'!C134</f>
        <v>0</v>
      </c>
      <c r="C108" s="22">
        <f>'Budget vs. Actuals'!E134</f>
        <v>0</v>
      </c>
      <c r="D108" s="22">
        <f>'Budget vs. Actuals'!G134</f>
        <v>0</v>
      </c>
      <c r="E108" s="22">
        <f>'Budget vs. Actuals'!I134</f>
        <v>0</v>
      </c>
      <c r="F108" s="22">
        <f>'Budget vs. Actuals'!K134</f>
        <v>0</v>
      </c>
      <c r="G108" s="22">
        <f>'Budget vs. Actuals'!M134</f>
        <v>0</v>
      </c>
      <c r="H108" s="22">
        <f>'Budget vs. Actuals'!O134</f>
        <v>0</v>
      </c>
      <c r="I108" s="22">
        <f>'Budget vs. Actuals'!Q134</f>
        <v>0</v>
      </c>
      <c r="J108" s="22">
        <f>'Budget vs. Actuals'!S134</f>
        <v>0</v>
      </c>
      <c r="K108" s="22">
        <f>'Budget vs. Actuals'!U134</f>
        <v>0</v>
      </c>
      <c r="L108" s="22">
        <f>'Budget vs. Actuals'!W134</f>
        <v>0</v>
      </c>
      <c r="M108" s="22">
        <f>'Budget vs. Actuals'!Y134</f>
        <v>0</v>
      </c>
    </row>
    <row r="109" spans="1:13">
      <c r="A109" s="1" t="s">
        <v>92</v>
      </c>
      <c r="B109" s="22">
        <f>'Budget vs. Actuals'!C135</f>
        <v>0</v>
      </c>
      <c r="C109" s="22">
        <f>'Budget vs. Actuals'!E135</f>
        <v>0</v>
      </c>
      <c r="D109" s="22">
        <f>'Budget vs. Actuals'!G135</f>
        <v>0</v>
      </c>
      <c r="E109" s="22">
        <f>'Budget vs. Actuals'!I135</f>
        <v>0</v>
      </c>
      <c r="F109" s="22">
        <f>'Budget vs. Actuals'!K135</f>
        <v>0</v>
      </c>
      <c r="G109" s="22">
        <f>'Budget vs. Actuals'!M135</f>
        <v>0</v>
      </c>
      <c r="H109" s="22">
        <f>'Budget vs. Actuals'!O135</f>
        <v>0</v>
      </c>
      <c r="I109" s="22">
        <f>'Budget vs. Actuals'!Q135</f>
        <v>0</v>
      </c>
      <c r="J109" s="22">
        <f>'Budget vs. Actuals'!S135</f>
        <v>0</v>
      </c>
      <c r="K109" s="22">
        <f>'Budget vs. Actuals'!U135</f>
        <v>0</v>
      </c>
      <c r="L109" s="22">
        <f>'Budget vs. Actuals'!W135</f>
        <v>0</v>
      </c>
      <c r="M109" s="22">
        <f>'Budget vs. Actuals'!Y135</f>
        <v>0</v>
      </c>
    </row>
    <row r="110" spans="1:13">
      <c r="A110" s="1" t="s">
        <v>93</v>
      </c>
      <c r="B110" s="22">
        <f>'Budget vs. Actuals'!C136</f>
        <v>0</v>
      </c>
      <c r="C110" s="22">
        <f>'Budget vs. Actuals'!E136</f>
        <v>0</v>
      </c>
      <c r="D110" s="22">
        <f>'Budget vs. Actuals'!G136</f>
        <v>0</v>
      </c>
      <c r="E110" s="22">
        <f>'Budget vs. Actuals'!I136</f>
        <v>0</v>
      </c>
      <c r="F110" s="22">
        <f>'Budget vs. Actuals'!K136</f>
        <v>0</v>
      </c>
      <c r="G110" s="22">
        <f>'Budget vs. Actuals'!M136</f>
        <v>0</v>
      </c>
      <c r="H110" s="22">
        <f>'Budget vs. Actuals'!O136</f>
        <v>0</v>
      </c>
      <c r="I110" s="22">
        <f>'Budget vs. Actuals'!Q136</f>
        <v>0</v>
      </c>
      <c r="J110" s="22">
        <f>'Budget vs. Actuals'!S136</f>
        <v>0</v>
      </c>
      <c r="K110" s="22">
        <f>'Budget vs. Actuals'!U136</f>
        <v>0</v>
      </c>
      <c r="L110" s="22">
        <f>'Budget vs. Actuals'!W136</f>
        <v>0</v>
      </c>
      <c r="M110" s="22">
        <f>'Budget vs. Actuals'!Y136</f>
        <v>0</v>
      </c>
    </row>
    <row r="111" spans="1:13">
      <c r="A111" s="1" t="s">
        <v>94</v>
      </c>
      <c r="B111" s="22">
        <f>'Budget vs. Actuals'!C137</f>
        <v>0</v>
      </c>
      <c r="C111" s="22">
        <f>'Budget vs. Actuals'!E137</f>
        <v>0</v>
      </c>
      <c r="D111" s="22">
        <f>'Budget vs. Actuals'!G137</f>
        <v>0</v>
      </c>
      <c r="E111" s="22">
        <f>'Budget vs. Actuals'!I137</f>
        <v>0</v>
      </c>
      <c r="F111" s="22">
        <f>'Budget vs. Actuals'!K137</f>
        <v>0</v>
      </c>
      <c r="G111" s="22">
        <f>'Budget vs. Actuals'!M137</f>
        <v>0</v>
      </c>
      <c r="H111" s="22">
        <f>'Budget vs. Actuals'!O137</f>
        <v>0</v>
      </c>
      <c r="I111" s="22">
        <f>'Budget vs. Actuals'!Q137</f>
        <v>0</v>
      </c>
      <c r="J111" s="22">
        <f>'Budget vs. Actuals'!S137</f>
        <v>0</v>
      </c>
      <c r="K111" s="22">
        <f>'Budget vs. Actuals'!U137</f>
        <v>0</v>
      </c>
      <c r="L111" s="22">
        <f>'Budget vs. Actuals'!W137</f>
        <v>0</v>
      </c>
      <c r="M111" s="22">
        <f>'Budget vs. Actuals'!Y137</f>
        <v>0</v>
      </c>
    </row>
    <row r="112" spans="1:13">
      <c r="A112" s="1" t="s">
        <v>95</v>
      </c>
      <c r="B112" s="22">
        <f>'Budget vs. Actuals'!C138</f>
        <v>0</v>
      </c>
      <c r="C112" s="22">
        <f>'Budget vs. Actuals'!E138</f>
        <v>0</v>
      </c>
      <c r="D112" s="22">
        <f>'Budget vs. Actuals'!G138</f>
        <v>0</v>
      </c>
      <c r="E112" s="22">
        <f>'Budget vs. Actuals'!I138</f>
        <v>0</v>
      </c>
      <c r="F112" s="22">
        <f>'Budget vs. Actuals'!K138</f>
        <v>0</v>
      </c>
      <c r="G112" s="22">
        <f>'Budget vs. Actuals'!M138</f>
        <v>0</v>
      </c>
      <c r="H112" s="22">
        <f>'Budget vs. Actuals'!O138</f>
        <v>0</v>
      </c>
      <c r="I112" s="22">
        <f>'Budget vs. Actuals'!Q138</f>
        <v>0</v>
      </c>
      <c r="J112" s="22">
        <f>'Budget vs. Actuals'!S138</f>
        <v>0</v>
      </c>
      <c r="K112" s="22">
        <f>'Budget vs. Actuals'!U138</f>
        <v>0</v>
      </c>
      <c r="L112" s="22">
        <f>'Budget vs. Actuals'!W138</f>
        <v>0</v>
      </c>
      <c r="M112" s="22">
        <f>'Budget vs. Actuals'!Y138</f>
        <v>0</v>
      </c>
    </row>
    <row r="113" spans="1:13">
      <c r="A113" s="1" t="s">
        <v>96</v>
      </c>
      <c r="B113" s="22">
        <f>'Budget vs. Actuals'!C139</f>
        <v>0.19660703399298093</v>
      </c>
      <c r="C113" s="22">
        <f>'Budget vs. Actuals'!E139</f>
        <v>0.10174806309374002</v>
      </c>
      <c r="D113" s="22">
        <f>'Budget vs. Actuals'!G139</f>
        <v>7.0081953669864999E-2</v>
      </c>
      <c r="E113" s="22">
        <f>'Budget vs. Actuals'!I139</f>
        <v>3.0678876124420312E-2</v>
      </c>
      <c r="F113" s="22">
        <f>'Budget vs. Actuals'!K139</f>
        <v>8.7707921358542745E-2</v>
      </c>
      <c r="G113" s="22">
        <f>'Budget vs. Actuals'!M139</f>
        <v>7.4998637988314118E-2</v>
      </c>
      <c r="H113" s="22">
        <f>'Budget vs. Actuals'!O139</f>
        <v>6.0091395487579219E-2</v>
      </c>
      <c r="I113" s="22">
        <f>'Budget vs. Actuals'!Q139</f>
        <v>0</v>
      </c>
      <c r="J113" s="22">
        <f>'Budget vs. Actuals'!S139</f>
        <v>0</v>
      </c>
      <c r="K113" s="22">
        <f>'Budget vs. Actuals'!U139</f>
        <v>0</v>
      </c>
      <c r="L113" s="22">
        <f>'Budget vs. Actuals'!W139</f>
        <v>0</v>
      </c>
      <c r="M113" s="22">
        <f>'Budget vs. Actuals'!Y139</f>
        <v>0</v>
      </c>
    </row>
    <row r="114" spans="1:13">
      <c r="A114" s="1" t="s">
        <v>97</v>
      </c>
      <c r="B114" s="22">
        <f>'Budget vs. Actuals'!C140</f>
        <v>1.4791577623357701</v>
      </c>
      <c r="C114" s="22">
        <f>'Budget vs. Actuals'!E140</f>
        <v>0.5805605404526254</v>
      </c>
      <c r="D114" s="22">
        <f>'Budget vs. Actuals'!G140</f>
        <v>-0.63201333182496899</v>
      </c>
      <c r="E114" s="22">
        <f>'Budget vs. Actuals'!I140</f>
        <v>1.649003224986751</v>
      </c>
      <c r="F114" s="22">
        <f>'Budget vs. Actuals'!K140</f>
        <v>-0.86366720089786486</v>
      </c>
      <c r="G114" s="22">
        <f>'Budget vs. Actuals'!M140</f>
        <v>-0.70706244246928196</v>
      </c>
      <c r="H114" s="22">
        <f>'Budget vs. Actuals'!O140</f>
        <v>1.023749161431234</v>
      </c>
      <c r="I114" s="22">
        <f>'Budget vs. Actuals'!Q140</f>
        <v>0</v>
      </c>
      <c r="J114" s="22">
        <f>'Budget vs. Actuals'!S140</f>
        <v>0</v>
      </c>
      <c r="K114" s="22">
        <f>'Budget vs. Actuals'!U140</f>
        <v>0</v>
      </c>
      <c r="L114" s="22">
        <f>'Budget vs. Actuals'!W140</f>
        <v>0</v>
      </c>
      <c r="M114" s="22">
        <f>'Budget vs. Actuals'!Y140</f>
        <v>0</v>
      </c>
    </row>
    <row r="115" spans="1:13">
      <c r="A115" s="1" t="s">
        <v>98</v>
      </c>
      <c r="B115" s="22">
        <f>'Budget vs. Actuals'!C141</f>
        <v>1.4791577623357701</v>
      </c>
      <c r="C115" s="22">
        <f>'Budget vs. Actuals'!E141</f>
        <v>0.5805605404526254</v>
      </c>
      <c r="D115" s="22">
        <f>'Budget vs. Actuals'!G141</f>
        <v>-0.63201333182496899</v>
      </c>
      <c r="E115" s="22">
        <f>'Budget vs. Actuals'!I141</f>
        <v>1.649003224986751</v>
      </c>
      <c r="F115" s="22">
        <f>'Budget vs. Actuals'!K141</f>
        <v>-0.86366720089786486</v>
      </c>
      <c r="G115" s="22">
        <f>'Budget vs. Actuals'!M141</f>
        <v>-0.70706244246928196</v>
      </c>
      <c r="H115" s="22">
        <f>'Budget vs. Actuals'!O141</f>
        <v>1.023749161431234</v>
      </c>
      <c r="I115" s="22">
        <f>'Budget vs. Actuals'!Q141</f>
        <v>0</v>
      </c>
      <c r="J115" s="22">
        <f>'Budget vs. Actuals'!S141</f>
        <v>0</v>
      </c>
      <c r="K115" s="22">
        <f>'Budget vs. Actuals'!U141</f>
        <v>0</v>
      </c>
      <c r="L115" s="22">
        <f>'Budget vs. Actuals'!W141</f>
        <v>0</v>
      </c>
      <c r="M115" s="22">
        <f>'Budget vs. Actuals'!Y141</f>
        <v>0</v>
      </c>
    </row>
  </sheetData>
  <phoneticPr fontId="6" type="noConversion"/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Budget vs. Actuals</vt:lpstr>
      <vt:lpstr>Monthly Actuals</vt:lpstr>
      <vt:lpstr>Monthly Percentages</vt:lpstr>
      <vt:lpstr>Montly Expenses</vt:lpstr>
      <vt:lpstr>Chart Montly Income</vt:lpstr>
      <vt:lpstr>Chart Monthly Expense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sgeorge@stefangeorge.com</cp:lastModifiedBy>
  <cp:lastPrinted>2019-01-10T01:13:31Z</cp:lastPrinted>
  <dcterms:created xsi:type="dcterms:W3CDTF">2018-06-14T14:35:13Z</dcterms:created>
  <dcterms:modified xsi:type="dcterms:W3CDTF">2019-01-10T01:49:05Z</dcterms:modified>
</cp:coreProperties>
</file>