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A - California\2018 Conference\"/>
    </mc:Choice>
  </mc:AlternateContent>
  <xr:revisionPtr revIDLastSave="0" documentId="8_{B273F9F0-5AEA-48E4-B169-5CBBE20455CE}" xr6:coauthVersionLast="40" xr6:coauthVersionMax="40" xr10:uidLastSave="{00000000-0000-0000-0000-000000000000}"/>
  <bookViews>
    <workbookView xWindow="0" yWindow="0" windowWidth="8805" windowHeight="9960" xr2:uid="{00000000-000D-0000-FFFF-FFFF00000000}"/>
  </bookViews>
  <sheets>
    <sheet name="Statement of Activity by Cla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2" i="1" l="1"/>
  <c r="B7" i="1" l="1"/>
  <c r="B8" i="1"/>
  <c r="B11" i="1"/>
  <c r="B12" i="1"/>
  <c r="B13" i="1"/>
  <c r="B14" i="1"/>
  <c r="B15" i="1"/>
  <c r="B16" i="1"/>
  <c r="B17" i="1"/>
  <c r="B18" i="1"/>
  <c r="B19" i="1"/>
  <c r="B20" i="1"/>
  <c r="B23" i="1"/>
  <c r="B24" i="1"/>
  <c r="B25" i="1"/>
  <c r="B28" i="1"/>
  <c r="B29" i="1" s="1"/>
  <c r="B30" i="1"/>
  <c r="B31" i="1"/>
  <c r="B32" i="1"/>
  <c r="B35" i="1"/>
  <c r="B36" i="1"/>
  <c r="B37" i="1"/>
  <c r="B38" i="1"/>
  <c r="B39" i="1"/>
  <c r="B45" i="1"/>
  <c r="B46" i="1"/>
  <c r="B47" i="1"/>
  <c r="B48" i="1"/>
  <c r="B49" i="1"/>
  <c r="B50" i="1"/>
  <c r="B51" i="1"/>
  <c r="B52" i="1"/>
  <c r="B53" i="1"/>
  <c r="B54" i="1"/>
  <c r="B57" i="1"/>
  <c r="B58" i="1"/>
  <c r="B59" i="1"/>
  <c r="B62" i="1"/>
  <c r="B63" i="1" s="1"/>
  <c r="B65" i="1"/>
  <c r="B66" i="1" s="1"/>
  <c r="B69" i="1"/>
  <c r="B70" i="1" s="1"/>
  <c r="B71" i="1"/>
  <c r="B72" i="1"/>
  <c r="B74" i="1"/>
  <c r="B75" i="1"/>
  <c r="B78" i="1"/>
  <c r="B79" i="1"/>
  <c r="B80" i="1"/>
  <c r="B82" i="1"/>
  <c r="B83" i="1"/>
  <c r="B84" i="1"/>
  <c r="B85" i="1"/>
  <c r="B88" i="1"/>
  <c r="B89" i="1"/>
  <c r="B92" i="1"/>
  <c r="B86" i="1" l="1"/>
  <c r="B60" i="1"/>
  <c r="B33" i="1"/>
  <c r="B55" i="1"/>
  <c r="B21" i="1"/>
  <c r="B90" i="1"/>
  <c r="B81" i="1"/>
  <c r="B76" i="1"/>
  <c r="B91" i="1" s="1"/>
  <c r="B93" i="1" s="1"/>
  <c r="B26" i="1"/>
  <c r="B40" i="1" l="1"/>
  <c r="B41" i="1" s="1"/>
  <c r="B42" i="1" s="1"/>
  <c r="B94" i="1" s="1"/>
  <c r="B95" i="1" s="1"/>
  <c r="B99" i="1" s="1"/>
  <c r="B101" i="1" s="1"/>
</calcChain>
</file>

<file path=xl/sharedStrings.xml><?xml version="1.0" encoding="utf-8"?>
<sst xmlns="http://schemas.openxmlformats.org/spreadsheetml/2006/main" count="360" uniqueCount="101">
  <si>
    <t>Revenue</t>
  </si>
  <si>
    <t xml:space="preserve">   4300 Miscellaneous Income</t>
  </si>
  <si>
    <t xml:space="preserve">   4600 Registration</t>
  </si>
  <si>
    <t xml:space="preserve">   4700 Sponsorships</t>
  </si>
  <si>
    <t xml:space="preserve">      4710 Exhibit Booth &amp; Event Sponsorship Packages</t>
  </si>
  <si>
    <t xml:space="preserve">         4711 Opening Reception</t>
  </si>
  <si>
    <t xml:space="preserve">         4712 Conference Give-Away</t>
  </si>
  <si>
    <t xml:space="preserve">         4713 Conference Lanyards</t>
  </si>
  <si>
    <t xml:space="preserve">         4714 Opening Keynote</t>
  </si>
  <si>
    <t xml:space="preserve">         4716 Awards Events</t>
  </si>
  <si>
    <t xml:space="preserve">         4717 Mobile App</t>
  </si>
  <si>
    <t xml:space="preserve">         4718 Student Awards Luncheon</t>
  </si>
  <si>
    <t xml:space="preserve">         4719 Continental Breakfast</t>
  </si>
  <si>
    <t xml:space="preserve">         4720 Closing Keynote</t>
  </si>
  <si>
    <t xml:space="preserve">         4721 CPF Auction</t>
  </si>
  <si>
    <t xml:space="preserve">      Total 4710 Exhibit Booth &amp; Event Sponsorship Packages</t>
  </si>
  <si>
    <t xml:space="preserve">      4725 Special Events</t>
  </si>
  <si>
    <t xml:space="preserve">         4727 $1,500</t>
  </si>
  <si>
    <t xml:space="preserve">         4728 $1,000</t>
  </si>
  <si>
    <t xml:space="preserve">         4729 $500</t>
  </si>
  <si>
    <t xml:space="preserve">      Total 4725 Special Events</t>
  </si>
  <si>
    <t xml:space="preserve">      4730 Event Sponsor</t>
  </si>
  <si>
    <t xml:space="preserve">         4736 Diversity Summit</t>
  </si>
  <si>
    <t xml:space="preserve">      Total 4730 Event Sponsor</t>
  </si>
  <si>
    <t xml:space="preserve">      4737 Public Agency</t>
  </si>
  <si>
    <t xml:space="preserve">      4738 Non-Profit Organization</t>
  </si>
  <si>
    <t xml:space="preserve">         4739 Tabletop Sponsor</t>
  </si>
  <si>
    <t xml:space="preserve">      Total 4738 Non-Profit Organization</t>
  </si>
  <si>
    <t xml:space="preserve">      4740 Advertising</t>
  </si>
  <si>
    <t xml:space="preserve">         4741 Conference Pen</t>
  </si>
  <si>
    <t xml:space="preserve">         4743 Mobile Application</t>
  </si>
  <si>
    <t xml:space="preserve">         4744 Program Sponsors</t>
  </si>
  <si>
    <t xml:space="preserve">         4745 Other (Customizable)</t>
  </si>
  <si>
    <t xml:space="preserve">      Total 4740 Advertising</t>
  </si>
  <si>
    <t xml:space="preserve">   Total 4700 Sponsorships</t>
  </si>
  <si>
    <t>Total Revenue</t>
  </si>
  <si>
    <t>Gross Profit</t>
  </si>
  <si>
    <t>Expenditures</t>
  </si>
  <si>
    <t xml:space="preserve">   5100 Operations Expense</t>
  </si>
  <si>
    <t xml:space="preserve">      5106 Conference Management</t>
  </si>
  <si>
    <t xml:space="preserve">      5107 Conference Registration Mgmt.</t>
  </si>
  <si>
    <t xml:space="preserve">      5110 Operations/Miscellaneous</t>
  </si>
  <si>
    <t xml:space="preserve">      5120 Insurance Expense</t>
  </si>
  <si>
    <t xml:space="preserve">      5145 Office Supplies</t>
  </si>
  <si>
    <t xml:space="preserve">      5150 Postage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</si>
  <si>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</si>
  <si>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</si>
  <si>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</si>
  <si>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</si>
  <si>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</si>
  <si>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5500 Public Information Expense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</si>
  <si>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</si>
  <si>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</si>
  <si>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</si>
  <si>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 xml:space="preserve">   Total 5500 Public Information Expense</t>
  </si>
  <si>
    <t xml:space="preserve">   5600 Administrative</t>
  </si>
  <si>
    <t xml:space="preserve">      5620 Bookkeeping/Accounting/Tax Services</t>
  </si>
  <si>
    <t xml:space="preserve">   Total 5600 Administrative</t>
  </si>
  <si>
    <t xml:space="preserve">   5900 Other Expenses</t>
  </si>
  <si>
    <t xml:space="preserve">      5930 Scholarship</t>
  </si>
  <si>
    <t xml:space="preserve">   Total 5900 Other Expenses</t>
  </si>
  <si>
    <t xml:space="preserve">   6200 Conferences</t>
  </si>
  <si>
    <t xml:space="preserve">      6260 Conference Administration</t>
  </si>
  <si>
    <t xml:space="preserve">         6261 Committee Meals &amp; Expenses</t>
  </si>
  <si>
    <t xml:space="preserve">      Total 6260 Conference Administration</t>
  </si>
  <si>
    <t xml:space="preserve">      6400 Conference Opening Event</t>
  </si>
  <si>
    <t xml:space="preserve">      6420 Other Events - Food &amp; Beverage</t>
  </si>
  <si>
    <t xml:space="preserve">      6450 Conference Facility Expenses</t>
  </si>
  <si>
    <t xml:space="preserve">         6451 Meeting Rooms - Exhibitor Services Provider</t>
  </si>
  <si>
    <t xml:space="preserve">         6453 Meeting Rooms - Audio Visual</t>
  </si>
  <si>
    <t xml:space="preserve">      Total 6450 Conference Facility Expenses</t>
  </si>
  <si>
    <t xml:space="preserve">      6460 Publicity Material</t>
  </si>
  <si>
    <t xml:space="preserve">         6466 Give-Away Design &amp; Purchase</t>
  </si>
  <si>
    <t xml:space="preserve">         6467 Lanyard Design &amp; Purchase</t>
  </si>
  <si>
    <t xml:space="preserve">         6468 Printing Cost</t>
  </si>
  <si>
    <t xml:space="preserve">      Total 6460 Publicity Material</t>
  </si>
  <si>
    <t xml:space="preserve">      6470 Mobile Workshops</t>
  </si>
  <si>
    <t xml:space="preserve">         6471 Transportations</t>
  </si>
  <si>
    <t xml:space="preserve">         6472 Food</t>
  </si>
  <si>
    <t xml:space="preserve">         6473 Miscellaneous</t>
  </si>
  <si>
    <t xml:space="preserve">      Total 6470 Mobile Workshops</t>
  </si>
  <si>
    <t xml:space="preserve">      6480 Social Media</t>
  </si>
  <si>
    <t xml:space="preserve">         6481 Website</t>
  </si>
  <si>
    <t xml:space="preserve">         6482 Mobile App</t>
  </si>
  <si>
    <t xml:space="preserve">      Total 6480 Social Media</t>
  </si>
  <si>
    <t xml:space="preserve">   Total 6200 Conferences</t>
  </si>
  <si>
    <t xml:space="preserve">   6205 VP Conference Expense</t>
  </si>
  <si>
    <t>Total Expenditures</t>
  </si>
  <si>
    <t>Net Operating Revenue</t>
  </si>
  <si>
    <t>Net Revenue</t>
  </si>
  <si>
    <t>American Planning Association, California Chapter</t>
  </si>
  <si>
    <t>Statement of Activity by Class</t>
  </si>
  <si>
    <t>January - December 2018</t>
  </si>
  <si>
    <t>Total</t>
  </si>
  <si>
    <t>Seed Money</t>
  </si>
  <si>
    <t>Revised Net Revenue</t>
  </si>
  <si>
    <t>Additional Items added/subtracted from proceeds</t>
  </si>
  <si>
    <t>Hotel Check Reimbursement/Refund</t>
  </si>
  <si>
    <t>Credit for extra expense for Deene Alongi's contract</t>
  </si>
  <si>
    <t>Adjust Revenue for Conference distribution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</si>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</sst>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165" fontId="2" fillId="4" borderId="1" xfId="0" applyNumberFormat="1" applyFont="1" applyFill="1" applyBorder="1" applyAlignment="1">
      <alignment horizontal="right" wrapText="1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44" fontId="8" fillId="0" borderId="1" xfId="1" applyFont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44" fontId="7" fillId="5" borderId="1" xfId="0" applyNumberFormat="1" applyFont="1" applyFill="1" applyBorder="1"/>
    <xf numFmtId="0" fontId="7" fillId="0" borderId="1" xfId="0" applyFont="1" applyFill="1" applyBorder="1"/>
    <xf numFmtId="44" fontId="7" fillId="0" borderId="1" xfId="1" applyFont="1" applyFill="1" applyBorder="1" applyAlignment="1">
      <alignment horizontal="center"/>
    </xf>
    <xf numFmtId="0" fontId="7" fillId="7" borderId="1" xfId="0" applyFont="1" applyFill="1" applyBorder="1" applyAlignment="1">
      <alignment horizontal="left" wrapText="1"/>
    </xf>
    <xf numFmtId="165" fontId="2" fillId="7" borderId="1" xfId="0" applyNumberFormat="1" applyFont="1" applyFill="1" applyBorder="1" applyAlignment="1">
      <alignment horizontal="right" wrapText="1"/>
    </xf>
    <xf numFmtId="0" fontId="7" fillId="6" borderId="2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9" fontId="7" fillId="0" borderId="1" xfId="2" applyFont="1" applyFill="1" applyBorder="1" applyAlignment="1">
      <alignment horizontal="right"/>
    </xf>
    <xf numFmtId="0" fontId="2" fillId="8" borderId="1" xfId="0" applyFont="1" applyFill="1" applyBorder="1" applyAlignment="1">
      <alignment horizontal="left" wrapText="1"/>
    </xf>
    <xf numFmtId="165" fontId="2" fillId="8" borderId="1" xfId="0" applyNumberFormat="1" applyFont="1" applyFill="1" applyBorder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5"/>
  <sheetViews>
    <sheetView tabSelected="1" topLeftCell="A69" workbookViewId="0">
      <selection activeCell="A102" sqref="A102"/>
    </sheetView>
  </sheetViews>
  <sheetFormatPr defaultRowHeight="15" x14ac:dyDescent="0.25"/>
  <cols>
    <col min="1" max="1" width="51.5703125" customWidth="1"/>
    <col min="2" max="2" width="26" customWidth="1"/>
  </cols>
  <sheetData>
    <row r="1" spans="1:2" ht="18" x14ac:dyDescent="0.25">
      <c r="A1" s="3" t="s">
        <v>90</v>
      </c>
      <c r="B1" s="2"/>
    </row>
    <row r="2" spans="1:2" ht="18" x14ac:dyDescent="0.25">
      <c r="A2" s="3" t="s">
        <v>91</v>
      </c>
      <c r="B2" s="2"/>
    </row>
    <row r="3" spans="1:2" x14ac:dyDescent="0.25">
      <c r="A3" s="4" t="s">
        <v>92</v>
      </c>
      <c r="B3" s="2"/>
    </row>
    <row r="4" spans="1:2" x14ac:dyDescent="0.25">
      <c r="A4" s="5"/>
      <c r="B4" s="5"/>
    </row>
    <row r="5" spans="1:2" x14ac:dyDescent="0.25">
      <c r="A5" s="6"/>
      <c r="B5" s="7" t="s">
        <v>93</v>
      </c>
    </row>
    <row r="6" spans="1:2" x14ac:dyDescent="0.25">
      <c r="A6" s="8" t="s">
        <v>0</v>
      </c>
      <c r="B6" s="9"/>
    </row>
    <row r="7" spans="1:2" x14ac:dyDescent="0.25">
      <c r="A7" s="8" t="s">
        <v>1</v>
      </c>
      <c r="B7" s="10">
        <f>20.58</f>
        <v>20.58</v>
      </c>
    </row>
    <row r="8" spans="1:2" x14ac:dyDescent="0.25">
      <c r="A8" s="8" t="s">
        <v>2</v>
      </c>
      <c r="B8" s="10">
        <f>746533</f>
        <v>746533</v>
      </c>
    </row>
    <row r="9" spans="1:2" x14ac:dyDescent="0.25">
      <c r="A9" s="8" t="s">
        <v>3</v>
      </c>
      <c r="B9" s="9"/>
    </row>
    <row r="10" spans="1:2" x14ac:dyDescent="0.25">
      <c r="A10" s="8" t="s">
        <v>4</v>
      </c>
      <c r="B10" s="9"/>
    </row>
    <row r="11" spans="1:2" x14ac:dyDescent="0.25">
      <c r="A11" s="8" t="s">
        <v>5</v>
      </c>
      <c r="B11" s="10">
        <f>24000</f>
        <v>24000</v>
      </c>
    </row>
    <row r="12" spans="1:2" x14ac:dyDescent="0.25">
      <c r="A12" s="8" t="s">
        <v>6</v>
      </c>
      <c r="B12" s="10">
        <f>8000</f>
        <v>8000</v>
      </c>
    </row>
    <row r="13" spans="1:2" x14ac:dyDescent="0.25">
      <c r="A13" s="8" t="s">
        <v>7</v>
      </c>
      <c r="B13" s="10">
        <f>8000</f>
        <v>8000</v>
      </c>
    </row>
    <row r="14" spans="1:2" x14ac:dyDescent="0.25">
      <c r="A14" s="8" t="s">
        <v>8</v>
      </c>
      <c r="B14" s="10">
        <f>12000</f>
        <v>12000</v>
      </c>
    </row>
    <row r="15" spans="1:2" x14ac:dyDescent="0.25">
      <c r="A15" s="8" t="s">
        <v>9</v>
      </c>
      <c r="B15" s="10">
        <f>12000</f>
        <v>12000</v>
      </c>
    </row>
    <row r="16" spans="1:2" x14ac:dyDescent="0.25">
      <c r="A16" s="8" t="s">
        <v>10</v>
      </c>
      <c r="B16" s="10">
        <f>6000</f>
        <v>6000</v>
      </c>
    </row>
    <row r="17" spans="1:2" x14ac:dyDescent="0.25">
      <c r="A17" s="8" t="s">
        <v>11</v>
      </c>
      <c r="B17" s="10">
        <f>10000</f>
        <v>10000</v>
      </c>
    </row>
    <row r="18" spans="1:2" x14ac:dyDescent="0.25">
      <c r="A18" s="8" t="s">
        <v>12</v>
      </c>
      <c r="B18" s="10">
        <f>15000</f>
        <v>15000</v>
      </c>
    </row>
    <row r="19" spans="1:2" x14ac:dyDescent="0.25">
      <c r="A19" s="8" t="s">
        <v>13</v>
      </c>
      <c r="B19" s="10">
        <f>7500</f>
        <v>7500</v>
      </c>
    </row>
    <row r="20" spans="1:2" x14ac:dyDescent="0.25">
      <c r="A20" s="8" t="s">
        <v>14</v>
      </c>
      <c r="B20" s="10">
        <f>5000</f>
        <v>5000</v>
      </c>
    </row>
    <row r="21" spans="1:2" x14ac:dyDescent="0.25">
      <c r="A21" s="8" t="s">
        <v>15</v>
      </c>
      <c r="B21" s="11">
        <f>((((((((((B10)+(B11))+(B12))+(B13))+(B14))+(B15))+(B16))+(B17))+(B18))+(B19))+(B20)</f>
        <v>107500</v>
      </c>
    </row>
    <row r="22" spans="1:2" x14ac:dyDescent="0.25">
      <c r="A22" s="8" t="s">
        <v>16</v>
      </c>
      <c r="B22" s="9"/>
    </row>
    <row r="23" spans="1:2" x14ac:dyDescent="0.25">
      <c r="A23" s="8" t="s">
        <v>17</v>
      </c>
      <c r="B23" s="10">
        <f>9000</f>
        <v>9000</v>
      </c>
    </row>
    <row r="24" spans="1:2" x14ac:dyDescent="0.25">
      <c r="A24" s="8" t="s">
        <v>18</v>
      </c>
      <c r="B24" s="10">
        <f>6000</f>
        <v>6000</v>
      </c>
    </row>
    <row r="25" spans="1:2" x14ac:dyDescent="0.25">
      <c r="A25" s="8" t="s">
        <v>19</v>
      </c>
      <c r="B25" s="10">
        <f>1000</f>
        <v>1000</v>
      </c>
    </row>
    <row r="26" spans="1:2" x14ac:dyDescent="0.25">
      <c r="A26" s="8" t="s">
        <v>20</v>
      </c>
      <c r="B26" s="11">
        <f>(((B22)+(B23))+(B24))+(B25)</f>
        <v>16000</v>
      </c>
    </row>
    <row r="27" spans="1:2" x14ac:dyDescent="0.25">
      <c r="A27" s="8" t="s">
        <v>21</v>
      </c>
      <c r="B27" s="9"/>
    </row>
    <row r="28" spans="1:2" x14ac:dyDescent="0.25">
      <c r="A28" s="8" t="s">
        <v>22</v>
      </c>
      <c r="B28" s="10">
        <f>2250</f>
        <v>2250</v>
      </c>
    </row>
    <row r="29" spans="1:2" x14ac:dyDescent="0.25">
      <c r="A29" s="8" t="s">
        <v>23</v>
      </c>
      <c r="B29" s="11">
        <f>(B27)+(B28)</f>
        <v>2250</v>
      </c>
    </row>
    <row r="30" spans="1:2" x14ac:dyDescent="0.25">
      <c r="A30" s="8" t="s">
        <v>24</v>
      </c>
      <c r="B30" s="10">
        <f>2000</f>
        <v>2000</v>
      </c>
    </row>
    <row r="31" spans="1:2" x14ac:dyDescent="0.25">
      <c r="A31" s="8" t="s">
        <v>25</v>
      </c>
      <c r="B31" s="10">
        <f>2000</f>
        <v>2000</v>
      </c>
    </row>
    <row r="32" spans="1:2" x14ac:dyDescent="0.25">
      <c r="A32" s="8" t="s">
        <v>26</v>
      </c>
      <c r="B32" s="10">
        <f>250</f>
        <v>250</v>
      </c>
    </row>
    <row r="33" spans="1:2" x14ac:dyDescent="0.25">
      <c r="A33" s="8" t="s">
        <v>27</v>
      </c>
      <c r="B33" s="11">
        <f>(B31)+(B32)</f>
        <v>2250</v>
      </c>
    </row>
    <row r="34" spans="1:2" x14ac:dyDescent="0.25">
      <c r="A34" s="8" t="s">
        <v>28</v>
      </c>
      <c r="B34" s="9"/>
    </row>
    <row r="35" spans="1:2" x14ac:dyDescent="0.25">
      <c r="A35" s="8" t="s">
        <v>29</v>
      </c>
      <c r="B35" s="10">
        <f>1000</f>
        <v>1000</v>
      </c>
    </row>
    <row r="36" spans="1:2" x14ac:dyDescent="0.25">
      <c r="A36" s="8" t="s">
        <v>30</v>
      </c>
      <c r="B36" s="10">
        <f>3500</f>
        <v>3500</v>
      </c>
    </row>
    <row r="37" spans="1:2" x14ac:dyDescent="0.25">
      <c r="A37" s="8" t="s">
        <v>31</v>
      </c>
      <c r="B37" s="10">
        <f>3325</f>
        <v>3325</v>
      </c>
    </row>
    <row r="38" spans="1:2" x14ac:dyDescent="0.25">
      <c r="A38" s="8" t="s">
        <v>32</v>
      </c>
      <c r="B38" s="10">
        <f>1000</f>
        <v>1000</v>
      </c>
    </row>
    <row r="39" spans="1:2" x14ac:dyDescent="0.25">
      <c r="A39" s="8" t="s">
        <v>33</v>
      </c>
      <c r="B39" s="11">
        <f>((((B34)+(B35))+(B36))+(B37))+(B38)</f>
        <v>8825</v>
      </c>
    </row>
    <row r="40" spans="1:2" x14ac:dyDescent="0.25">
      <c r="A40" s="8" t="s">
        <v>34</v>
      </c>
      <c r="B40" s="11">
        <f>((((((B9)+(B21))+(B26))+(B29))+(B30))+(B33))+(B39)</f>
        <v>138825</v>
      </c>
    </row>
    <row r="41" spans="1:2" x14ac:dyDescent="0.25">
      <c r="A41" s="8" t="s">
        <v>35</v>
      </c>
      <c r="B41" s="11">
        <f>((B7)+(B8))+(B40)</f>
        <v>885378.58</v>
      </c>
    </row>
    <row r="42" spans="1:2" x14ac:dyDescent="0.25">
      <c r="A42" s="12" t="s">
        <v>36</v>
      </c>
      <c r="B42" s="13">
        <f>(B41)-(0)</f>
        <v>885378.58</v>
      </c>
    </row>
    <row r="43" spans="1:2" x14ac:dyDescent="0.25">
      <c r="A43" s="14" t="s">
        <v>37</v>
      </c>
      <c r="B43" s="15"/>
    </row>
    <row r="44" spans="1:2" x14ac:dyDescent="0.25">
      <c r="A44" s="8" t="s">
        <v>38</v>
      </c>
      <c r="B44" s="9"/>
    </row>
    <row r="45" spans="1:2" x14ac:dyDescent="0.25">
      <c r="A45" s="8" t="s">
        <v>39</v>
      </c>
      <c r="B45" s="10">
        <f>64566.54</f>
        <v>64566.54</v>
      </c>
    </row>
    <row r="46" spans="1:2" x14ac:dyDescent="0.25">
      <c r="A46" s="8" t="s">
        <v>40</v>
      </c>
      <c r="B46" s="10">
        <f>750</f>
        <v>750</v>
      </c>
    </row>
    <row r="47" spans="1:2" x14ac:dyDescent="0.25">
      <c r="A47" s="8" t="s">
        <v>41</v>
      </c>
      <c r="B47" s="10">
        <f>448</f>
        <v>448</v>
      </c>
    </row>
    <row r="48" spans="1:2" x14ac:dyDescent="0.25">
      <c r="A48" s="8" t="s">
        <v>42</v>
      </c>
      <c r="B48" s="10">
        <f>3414.8</f>
        <v>3414.8</v>
      </c>
    </row>
    <row r="49" spans="1:2" x14ac:dyDescent="0.25">
      <c r="A49" s="8" t="s">
        <v>43</v>
      </c>
      <c r="B49" s="10">
        <f>926.28</f>
        <v>926.28</v>
      </c>
    </row>
    <row r="50" spans="1:2" x14ac:dyDescent="0.25">
      <c r="A50" s="8" t="s">
        <v>44</v>
      </c>
      <c r="B50" s="10">
        <f>1061.7</f>
        <v>1061.7</v>
      </c>
    </row>
    <row r="51" spans="1:2" x14ac:dyDescent="0.25">
      <c r="A51" s="8" t="s">
        <v>45</v>
      </c>
      <c r="B51" s="10">
        <f>2419.47</f>
        <v>2419.4699999999998</v>
      </c>
    </row>
    <row r="52" spans="1:2" x14ac:dyDescent="0.25">
      <c r="A52" s="8" t="s">
        <v>46</v>
      </c>
      <c r="B52" s="10">
        <f>8070.42</f>
        <v>8070.42</v>
      </c>
    </row>
    <row r="53" spans="1:2" x14ac:dyDescent="0.25">
      <c r="A53" s="8" t="s">
        <v>47</v>
      </c>
      <c r="B53" s="10">
        <f>8125</f>
        <v>8125</v>
      </c>
    </row>
    <row r="54" spans="1:2" x14ac:dyDescent="0.25">
      <c r="A54" s="8" t="s">
        <v>48</v>
      </c>
      <c r="B54" s="10">
        <f>6</f>
        <v>6</v>
      </c>
    </row>
    <row r="55" spans="1:2" x14ac:dyDescent="0.25">
      <c r="A55" s="8" t="s">
        <v>49</v>
      </c>
      <c r="B55" s="11">
        <f>((((((((((B44)+(B45))+(B46))+(B47))+(B48))+(B49))+(B50))+(B51))+(B52))+(B53))+(B54)</f>
        <v>89788.21</v>
      </c>
    </row>
    <row r="56" spans="1:2" x14ac:dyDescent="0.25">
      <c r="A56" s="8" t="s">
        <v>50</v>
      </c>
      <c r="B56" s="9"/>
    </row>
    <row r="57" spans="1:2" x14ac:dyDescent="0.25">
      <c r="A57" s="8" t="s">
        <v>51</v>
      </c>
      <c r="B57" s="10">
        <f>27867.18</f>
        <v>27867.18</v>
      </c>
    </row>
    <row r="58" spans="1:2" x14ac:dyDescent="0.25">
      <c r="A58" s="8" t="s">
        <v>52</v>
      </c>
      <c r="B58" s="10">
        <f>2408</f>
        <v>2408</v>
      </c>
    </row>
    <row r="59" spans="1:2" x14ac:dyDescent="0.25">
      <c r="A59" s="8" t="s">
        <v>53</v>
      </c>
      <c r="B59" s="10">
        <f>1770.84</f>
        <v>1770.84</v>
      </c>
    </row>
    <row r="60" spans="1:2" x14ac:dyDescent="0.25">
      <c r="A60" s="8" t="s">
        <v>54</v>
      </c>
      <c r="B60" s="11">
        <f>(((B56)+(B57))+(B58))+(B59)</f>
        <v>32046.02</v>
      </c>
    </row>
    <row r="61" spans="1:2" x14ac:dyDescent="0.25">
      <c r="A61" s="8" t="s">
        <v>55</v>
      </c>
      <c r="B61" s="9"/>
    </row>
    <row r="62" spans="1:2" x14ac:dyDescent="0.25">
      <c r="A62" s="8" t="s">
        <v>56</v>
      </c>
      <c r="B62" s="10">
        <f>5610</f>
        <v>5610</v>
      </c>
    </row>
    <row r="63" spans="1:2" x14ac:dyDescent="0.25">
      <c r="A63" s="8" t="s">
        <v>57</v>
      </c>
      <c r="B63" s="11">
        <f>(B61)+(B62)</f>
        <v>5610</v>
      </c>
    </row>
    <row r="64" spans="1:2" x14ac:dyDescent="0.25">
      <c r="A64" s="8" t="s">
        <v>58</v>
      </c>
      <c r="B64" s="9"/>
    </row>
    <row r="65" spans="1:2" x14ac:dyDescent="0.25">
      <c r="A65" s="8" t="s">
        <v>59</v>
      </c>
      <c r="B65" s="10">
        <f>850</f>
        <v>850</v>
      </c>
    </row>
    <row r="66" spans="1:2" x14ac:dyDescent="0.25">
      <c r="A66" s="8" t="s">
        <v>60</v>
      </c>
      <c r="B66" s="11">
        <f>(B64)+(B65)</f>
        <v>850</v>
      </c>
    </row>
    <row r="67" spans="1:2" x14ac:dyDescent="0.25">
      <c r="A67" s="8" t="s">
        <v>61</v>
      </c>
      <c r="B67" s="9"/>
    </row>
    <row r="68" spans="1:2" x14ac:dyDescent="0.25">
      <c r="A68" s="8" t="s">
        <v>62</v>
      </c>
      <c r="B68" s="9"/>
    </row>
    <row r="69" spans="1:2" x14ac:dyDescent="0.25">
      <c r="A69" s="8" t="s">
        <v>63</v>
      </c>
      <c r="B69" s="10">
        <f>584.61</f>
        <v>584.61</v>
      </c>
    </row>
    <row r="70" spans="1:2" x14ac:dyDescent="0.25">
      <c r="A70" s="8" t="s">
        <v>64</v>
      </c>
      <c r="B70" s="11">
        <f>(B68)+(B69)</f>
        <v>584.61</v>
      </c>
    </row>
    <row r="71" spans="1:2" x14ac:dyDescent="0.25">
      <c r="A71" s="8" t="s">
        <v>65</v>
      </c>
      <c r="B71" s="10">
        <f>108420.13</f>
        <v>108420.13</v>
      </c>
    </row>
    <row r="72" spans="1:2" x14ac:dyDescent="0.25">
      <c r="A72" s="8" t="s">
        <v>66</v>
      </c>
      <c r="B72" s="10">
        <f>281925.67</f>
        <v>281925.67</v>
      </c>
    </row>
    <row r="73" spans="1:2" x14ac:dyDescent="0.25">
      <c r="A73" s="8" t="s">
        <v>67</v>
      </c>
      <c r="B73" s="9"/>
    </row>
    <row r="74" spans="1:2" x14ac:dyDescent="0.25">
      <c r="A74" s="8" t="s">
        <v>68</v>
      </c>
      <c r="B74" s="10">
        <f>15555.1</f>
        <v>15555.1</v>
      </c>
    </row>
    <row r="75" spans="1:2" x14ac:dyDescent="0.25">
      <c r="A75" s="8" t="s">
        <v>69</v>
      </c>
      <c r="B75" s="10">
        <f>76832.06</f>
        <v>76832.06</v>
      </c>
    </row>
    <row r="76" spans="1:2" x14ac:dyDescent="0.25">
      <c r="A76" s="8" t="s">
        <v>70</v>
      </c>
      <c r="B76" s="11">
        <f>((B73)+(B74))+(B75)</f>
        <v>92387.16</v>
      </c>
    </row>
    <row r="77" spans="1:2" x14ac:dyDescent="0.25">
      <c r="A77" s="8" t="s">
        <v>71</v>
      </c>
      <c r="B77" s="9"/>
    </row>
    <row r="78" spans="1:2" x14ac:dyDescent="0.25">
      <c r="A78" s="8" t="s">
        <v>72</v>
      </c>
      <c r="B78" s="10">
        <f>3291</f>
        <v>3291</v>
      </c>
    </row>
    <row r="79" spans="1:2" x14ac:dyDescent="0.25">
      <c r="A79" s="8" t="s">
        <v>73</v>
      </c>
      <c r="B79" s="10">
        <f>2243</f>
        <v>2243</v>
      </c>
    </row>
    <row r="80" spans="1:2" x14ac:dyDescent="0.25">
      <c r="A80" s="8" t="s">
        <v>74</v>
      </c>
      <c r="B80" s="10">
        <f>305</f>
        <v>305</v>
      </c>
    </row>
    <row r="81" spans="1:2" x14ac:dyDescent="0.25">
      <c r="A81" s="8" t="s">
        <v>75</v>
      </c>
      <c r="B81" s="11">
        <f>(((B77)+(B78))+(B79))+(B80)</f>
        <v>5839</v>
      </c>
    </row>
    <row r="82" spans="1:2" x14ac:dyDescent="0.25">
      <c r="A82" s="8" t="s">
        <v>76</v>
      </c>
      <c r="B82" s="10">
        <f>805</f>
        <v>805</v>
      </c>
    </row>
    <row r="83" spans="1:2" x14ac:dyDescent="0.25">
      <c r="A83" s="8" t="s">
        <v>77</v>
      </c>
      <c r="B83" s="10">
        <f>285</f>
        <v>285</v>
      </c>
    </row>
    <row r="84" spans="1:2" x14ac:dyDescent="0.25">
      <c r="A84" s="8" t="s">
        <v>78</v>
      </c>
      <c r="B84" s="10">
        <f>2619.43</f>
        <v>2619.4299999999998</v>
      </c>
    </row>
    <row r="85" spans="1:2" x14ac:dyDescent="0.25">
      <c r="A85" s="8" t="s">
        <v>79</v>
      </c>
      <c r="B85" s="10">
        <f>215.89</f>
        <v>215.89</v>
      </c>
    </row>
    <row r="86" spans="1:2" x14ac:dyDescent="0.25">
      <c r="A86" s="8" t="s">
        <v>80</v>
      </c>
      <c r="B86" s="11">
        <f>(((B82)+(B83))+(B84))+(B85)</f>
        <v>3925.3199999999997</v>
      </c>
    </row>
    <row r="87" spans="1:2" x14ac:dyDescent="0.25">
      <c r="A87" s="8" t="s">
        <v>81</v>
      </c>
      <c r="B87" s="9"/>
    </row>
    <row r="88" spans="1:2" x14ac:dyDescent="0.25">
      <c r="A88" s="8" t="s">
        <v>82</v>
      </c>
      <c r="B88" s="10">
        <f>4995.67</f>
        <v>4995.67</v>
      </c>
    </row>
    <row r="89" spans="1:2" x14ac:dyDescent="0.25">
      <c r="A89" s="8" t="s">
        <v>83</v>
      </c>
      <c r="B89" s="10">
        <f>9770.83</f>
        <v>9770.83</v>
      </c>
    </row>
    <row r="90" spans="1:2" x14ac:dyDescent="0.25">
      <c r="A90" s="8" t="s">
        <v>84</v>
      </c>
      <c r="B90" s="11">
        <f>((B87)+(B88))+(B89)</f>
        <v>14766.5</v>
      </c>
    </row>
    <row r="91" spans="1:2" x14ac:dyDescent="0.25">
      <c r="A91" s="8" t="s">
        <v>85</v>
      </c>
      <c r="B91" s="11">
        <f>(((((((B67)+(B70))+(B71))+(B72))+(B76))+(B81))+(B86))+(B90)</f>
        <v>507848.38999999996</v>
      </c>
    </row>
    <row r="92" spans="1:2" x14ac:dyDescent="0.25">
      <c r="A92" s="8" t="s">
        <v>86</v>
      </c>
      <c r="B92" s="10">
        <f>805.77</f>
        <v>805.77</v>
      </c>
    </row>
    <row r="93" spans="1:2" x14ac:dyDescent="0.25">
      <c r="A93" s="33" t="s">
        <v>87</v>
      </c>
      <c r="B93" s="34">
        <f>(((((B55)+(B60))+(B63))+(B66))+(B91))+(B92)</f>
        <v>636948.39</v>
      </c>
    </row>
    <row r="94" spans="1:2" x14ac:dyDescent="0.25">
      <c r="A94" s="8" t="s">
        <v>88</v>
      </c>
      <c r="B94" s="11">
        <f>(B42)-(B93)</f>
        <v>248430.18999999994</v>
      </c>
    </row>
    <row r="95" spans="1:2" x14ac:dyDescent="0.25">
      <c r="A95" s="16" t="s">
        <v>89</v>
      </c>
      <c r="B95" s="17">
        <f>(B94)+(0)</f>
        <v>248430.18999999994</v>
      </c>
    </row>
    <row r="96" spans="1:2" ht="24" customHeight="1" x14ac:dyDescent="0.25">
      <c r="A96" s="30" t="s">
        <v>96</v>
      </c>
      <c r="B96" s="31"/>
    </row>
    <row r="97" spans="1:2" x14ac:dyDescent="0.25">
      <c r="A97" s="20" t="s">
        <v>97</v>
      </c>
      <c r="B97" s="21">
        <v>31816.38</v>
      </c>
    </row>
    <row r="98" spans="1:2" x14ac:dyDescent="0.25">
      <c r="A98" s="26" t="s">
        <v>98</v>
      </c>
      <c r="B98" s="27">
        <v>13125</v>
      </c>
    </row>
    <row r="99" spans="1:2" x14ac:dyDescent="0.25">
      <c r="A99" s="28" t="s">
        <v>95</v>
      </c>
      <c r="B99" s="29">
        <f>SUM(B95:B97)</f>
        <v>280246.56999999995</v>
      </c>
    </row>
    <row r="100" spans="1:2" x14ac:dyDescent="0.25">
      <c r="A100" s="22" t="s">
        <v>94</v>
      </c>
      <c r="B100" s="23">
        <v>-36550</v>
      </c>
    </row>
    <row r="101" spans="1:2" x14ac:dyDescent="0.25">
      <c r="A101" s="24" t="s">
        <v>99</v>
      </c>
      <c r="B101" s="25">
        <f>SUM(B99:B100)</f>
        <v>243696.56999999995</v>
      </c>
    </row>
    <row r="102" spans="1:2" x14ac:dyDescent="0.25">
      <c r="A102" s="26" t="s">
        <v>100</v>
      </c>
      <c r="B102" s="32">
        <f>SUM(B101/B42)</f>
        <v>0.27524561301223255</v>
      </c>
    </row>
    <row r="103" spans="1:2" x14ac:dyDescent="0.25">
      <c r="A103" s="19"/>
      <c r="B103" s="18"/>
    </row>
    <row r="105" spans="1:2" x14ac:dyDescent="0.25">
      <c r="A105" s="1"/>
      <c r="B105" s="2"/>
    </row>
  </sheetData>
  <mergeCells count="5">
    <mergeCell ref="A105:B105"/>
    <mergeCell ref="A1:B1"/>
    <mergeCell ref="A2:B2"/>
    <mergeCell ref="A3:B3"/>
    <mergeCell ref="A96:B9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2019-01-09T01:38:07Z</dcterms:created>
  <dcterms:modified xsi:type="dcterms:W3CDTF">2019-01-11T17:32:12Z</dcterms:modified>
</cp:coreProperties>
</file>