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A - California\Monthly Financials\2019\May\"/>
    </mc:Choice>
  </mc:AlternateContent>
  <xr:revisionPtr revIDLastSave="0" documentId="13_ncr:1_{7CBFD6FF-DF32-4F0B-ACBE-EF688E3017CE}" xr6:coauthVersionLast="41" xr6:coauthVersionMax="41" xr10:uidLastSave="{00000000-0000-0000-0000-000000000000}"/>
  <bookViews>
    <workbookView xWindow="1170" yWindow="1170" windowWidth="26445" windowHeight="11385" activeTab="3" xr2:uid="{00000000-000D-0000-FFFF-FFFF00000000}"/>
  </bookViews>
  <sheets>
    <sheet name="Profit and Loss May" sheetId="1" r:id="rId1"/>
    <sheet name="Profit and Loss YTD" sheetId="4" r:id="rId2"/>
    <sheet name="Balance Sheet" sheetId="6" r:id="rId3"/>
    <sheet name="Budget vs. Actual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7" l="1"/>
  <c r="E8" i="7"/>
  <c r="B9" i="7"/>
  <c r="C9" i="7"/>
  <c r="D9" i="7"/>
  <c r="E9" i="7"/>
  <c r="B10" i="7"/>
  <c r="C10" i="7"/>
  <c r="D10" i="7"/>
  <c r="E10" i="7"/>
  <c r="C11" i="7"/>
  <c r="D11" i="7"/>
  <c r="E11" i="7"/>
  <c r="B12" i="7"/>
  <c r="E12" i="7" s="1"/>
  <c r="C12" i="7"/>
  <c r="C13" i="7"/>
  <c r="C14" i="7"/>
  <c r="E14" i="7" s="1"/>
  <c r="D16" i="7"/>
  <c r="E16" i="7"/>
  <c r="C17" i="7"/>
  <c r="B18" i="7"/>
  <c r="C18" i="7"/>
  <c r="E18" i="7" s="1"/>
  <c r="D19" i="7"/>
  <c r="E19" i="7"/>
  <c r="B20" i="7"/>
  <c r="C20" i="7"/>
  <c r="D20" i="7"/>
  <c r="E20" i="7"/>
  <c r="B21" i="7"/>
  <c r="C21" i="7"/>
  <c r="D21" i="7"/>
  <c r="E21" i="7"/>
  <c r="D22" i="7"/>
  <c r="E22" i="7"/>
  <c r="B23" i="7"/>
  <c r="B24" i="7" s="1"/>
  <c r="B25" i="7" s="1"/>
  <c r="D23" i="7"/>
  <c r="E23" i="7"/>
  <c r="C24" i="7"/>
  <c r="E24" i="7" s="1"/>
  <c r="D26" i="7"/>
  <c r="E26" i="7"/>
  <c r="B27" i="7"/>
  <c r="D27" i="7" s="1"/>
  <c r="C27" i="7"/>
  <c r="E27" i="7"/>
  <c r="B28" i="7"/>
  <c r="D28" i="7" s="1"/>
  <c r="C28" i="7"/>
  <c r="E28" i="7"/>
  <c r="B29" i="7"/>
  <c r="D29" i="7" s="1"/>
  <c r="C29" i="7"/>
  <c r="B30" i="7"/>
  <c r="D30" i="7" s="1"/>
  <c r="E30" i="7"/>
  <c r="C31" i="7"/>
  <c r="E31" i="7" s="1"/>
  <c r="D31" i="7"/>
  <c r="D35" i="7"/>
  <c r="E35" i="7"/>
  <c r="B36" i="7"/>
  <c r="C36" i="7"/>
  <c r="E36" i="7"/>
  <c r="C37" i="7"/>
  <c r="C51" i="7" s="1"/>
  <c r="C38" i="7"/>
  <c r="E38" i="7" s="1"/>
  <c r="D38" i="7"/>
  <c r="B39" i="7"/>
  <c r="C39" i="7"/>
  <c r="E39" i="7" s="1"/>
  <c r="B40" i="7"/>
  <c r="C40" i="7"/>
  <c r="E40" i="7" s="1"/>
  <c r="D40" i="7"/>
  <c r="B41" i="7"/>
  <c r="C41" i="7"/>
  <c r="E41" i="7" s="1"/>
  <c r="D41" i="7"/>
  <c r="B42" i="7"/>
  <c r="C42" i="7"/>
  <c r="E42" i="7" s="1"/>
  <c r="D42" i="7"/>
  <c r="B43" i="7"/>
  <c r="C43" i="7"/>
  <c r="E43" i="7" s="1"/>
  <c r="B44" i="7"/>
  <c r="C44" i="7"/>
  <c r="E44" i="7" s="1"/>
  <c r="D44" i="7"/>
  <c r="B45" i="7"/>
  <c r="C45" i="7"/>
  <c r="E45" i="7" s="1"/>
  <c r="D45" i="7"/>
  <c r="B46" i="7"/>
  <c r="C46" i="7"/>
  <c r="E46" i="7" s="1"/>
  <c r="D46" i="7"/>
  <c r="B47" i="7"/>
  <c r="C47" i="7"/>
  <c r="E47" i="7" s="1"/>
  <c r="B48" i="7"/>
  <c r="C48" i="7"/>
  <c r="E48" i="7" s="1"/>
  <c r="D48" i="7"/>
  <c r="B49" i="7"/>
  <c r="C49" i="7"/>
  <c r="E49" i="7" s="1"/>
  <c r="D49" i="7"/>
  <c r="B50" i="7"/>
  <c r="C50" i="7"/>
  <c r="E50" i="7" s="1"/>
  <c r="D50" i="7"/>
  <c r="D52" i="7"/>
  <c r="E52" i="7"/>
  <c r="B53" i="7"/>
  <c r="B57" i="7" s="1"/>
  <c r="C53" i="7"/>
  <c r="C54" i="7"/>
  <c r="D54" i="7" s="1"/>
  <c r="E54" i="7"/>
  <c r="C55" i="7"/>
  <c r="E55" i="7" s="1"/>
  <c r="D55" i="7"/>
  <c r="C56" i="7"/>
  <c r="E56" i="7" s="1"/>
  <c r="D56" i="7"/>
  <c r="D58" i="7"/>
  <c r="E58" i="7"/>
  <c r="B59" i="7"/>
  <c r="C59" i="7"/>
  <c r="E59" i="7" s="1"/>
  <c r="B60" i="7"/>
  <c r="C60" i="7"/>
  <c r="E60" i="7"/>
  <c r="B61" i="7"/>
  <c r="C61" i="7"/>
  <c r="E61" i="7"/>
  <c r="C62" i="7"/>
  <c r="E62" i="7" s="1"/>
  <c r="D64" i="7"/>
  <c r="E64" i="7"/>
  <c r="C65" i="7"/>
  <c r="D65" i="7" s="1"/>
  <c r="E65" i="7"/>
  <c r="B66" i="7"/>
  <c r="C66" i="7"/>
  <c r="E66" i="7"/>
  <c r="B67" i="7"/>
  <c r="D67" i="7" s="1"/>
  <c r="C67" i="7"/>
  <c r="C68" i="7"/>
  <c r="E68" i="7" s="1"/>
  <c r="D68" i="7"/>
  <c r="C69" i="7"/>
  <c r="D69" i="7"/>
  <c r="E69" i="7"/>
  <c r="C70" i="7"/>
  <c r="D71" i="7"/>
  <c r="E71" i="7"/>
  <c r="C72" i="7"/>
  <c r="D72" i="7"/>
  <c r="B73" i="7"/>
  <c r="D73" i="7" s="1"/>
  <c r="C73" i="7"/>
  <c r="E73" i="7" s="1"/>
  <c r="B74" i="7"/>
  <c r="C74" i="7"/>
  <c r="E74" i="7" s="1"/>
  <c r="D74" i="7"/>
  <c r="B75" i="7"/>
  <c r="C75" i="7"/>
  <c r="E75" i="7" s="1"/>
  <c r="D75" i="7"/>
  <c r="B76" i="7"/>
  <c r="D76" i="7" s="1"/>
  <c r="C76" i="7"/>
  <c r="B77" i="7"/>
  <c r="D77" i="7" s="1"/>
  <c r="C77" i="7"/>
  <c r="E77" i="7" s="1"/>
  <c r="B78" i="7"/>
  <c r="C78" i="7"/>
  <c r="E78" i="7" s="1"/>
  <c r="D78" i="7"/>
  <c r="B79" i="7"/>
  <c r="C79" i="7"/>
  <c r="E79" i="7" s="1"/>
  <c r="D79" i="7"/>
  <c r="B80" i="7"/>
  <c r="D80" i="7" s="1"/>
  <c r="C80" i="7"/>
  <c r="C81" i="7"/>
  <c r="E81" i="7" s="1"/>
  <c r="D81" i="7"/>
  <c r="C82" i="7"/>
  <c r="D82" i="7"/>
  <c r="E82" i="7"/>
  <c r="D84" i="7"/>
  <c r="E84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D89" i="7"/>
  <c r="E89" i="7"/>
  <c r="C90" i="7"/>
  <c r="D90" i="7" s="1"/>
  <c r="C91" i="7"/>
  <c r="E91" i="7" s="1"/>
  <c r="D91" i="7"/>
  <c r="B92" i="7"/>
  <c r="B95" i="7" s="1"/>
  <c r="C92" i="7"/>
  <c r="C93" i="7"/>
  <c r="E93" i="7" s="1"/>
  <c r="D93" i="7"/>
  <c r="C94" i="7"/>
  <c r="D94" i="7"/>
  <c r="E94" i="7"/>
  <c r="D96" i="7"/>
  <c r="E96" i="7"/>
  <c r="B97" i="7"/>
  <c r="C97" i="7"/>
  <c r="E97" i="7" s="1"/>
  <c r="D97" i="7"/>
  <c r="B98" i="7"/>
  <c r="C98" i="7"/>
  <c r="E98" i="7" s="1"/>
  <c r="D98" i="7"/>
  <c r="C99" i="7"/>
  <c r="D99" i="7" s="1"/>
  <c r="B100" i="7"/>
  <c r="C100" i="7"/>
  <c r="D100" i="7" s="1"/>
  <c r="C101" i="7"/>
  <c r="D101" i="7"/>
  <c r="E101" i="7"/>
  <c r="C102" i="7"/>
  <c r="D102" i="7" s="1"/>
  <c r="E102" i="7"/>
  <c r="B103" i="7"/>
  <c r="D104" i="7"/>
  <c r="E104" i="7"/>
  <c r="B105" i="7"/>
  <c r="C105" i="7"/>
  <c r="D105" i="7"/>
  <c r="E105" i="7"/>
  <c r="C106" i="7"/>
  <c r="D106" i="7"/>
  <c r="E106" i="7"/>
  <c r="C107" i="7"/>
  <c r="D107" i="7" s="1"/>
  <c r="B108" i="7"/>
  <c r="C109" i="7"/>
  <c r="E109" i="7" s="1"/>
  <c r="D109" i="7"/>
  <c r="D110" i="7"/>
  <c r="E110" i="7"/>
  <c r="D111" i="7"/>
  <c r="E111" i="7"/>
  <c r="B112" i="7"/>
  <c r="D112" i="7" s="1"/>
  <c r="C112" i="7"/>
  <c r="E112" i="7" s="1"/>
  <c r="C115" i="7"/>
  <c r="D115" i="7" s="1"/>
  <c r="D116" i="7"/>
  <c r="E116" i="7"/>
  <c r="C117" i="7"/>
  <c r="E117" i="7" s="1"/>
  <c r="D117" i="7"/>
  <c r="C118" i="7"/>
  <c r="E118" i="7" s="1"/>
  <c r="D118" i="7"/>
  <c r="C119" i="7"/>
  <c r="D119" i="7"/>
  <c r="E119" i="7"/>
  <c r="C120" i="7"/>
  <c r="D120" i="7" s="1"/>
  <c r="E120" i="7"/>
  <c r="C121" i="7"/>
  <c r="E121" i="7" s="1"/>
  <c r="D121" i="7"/>
  <c r="B122" i="7"/>
  <c r="C123" i="7"/>
  <c r="D123" i="7" s="1"/>
  <c r="E51" i="7" l="1"/>
  <c r="C113" i="7"/>
  <c r="C108" i="7"/>
  <c r="E108" i="7" s="1"/>
  <c r="C63" i="7"/>
  <c r="E63" i="7" s="1"/>
  <c r="D59" i="7"/>
  <c r="D18" i="7"/>
  <c r="D13" i="7"/>
  <c r="E13" i="7"/>
  <c r="E123" i="7"/>
  <c r="C122" i="7"/>
  <c r="E115" i="7"/>
  <c r="B113" i="7"/>
  <c r="E100" i="7"/>
  <c r="E99" i="7"/>
  <c r="D92" i="7"/>
  <c r="C95" i="7"/>
  <c r="E95" i="7" s="1"/>
  <c r="E67" i="7"/>
  <c r="B63" i="7"/>
  <c r="D60" i="7"/>
  <c r="C57" i="7"/>
  <c r="E53" i="7"/>
  <c r="E29" i="7"/>
  <c r="C25" i="7"/>
  <c r="D17" i="7"/>
  <c r="E17" i="7"/>
  <c r="C15" i="7"/>
  <c r="E107" i="7"/>
  <c r="C103" i="7"/>
  <c r="E103" i="7" s="1"/>
  <c r="E92" i="7"/>
  <c r="E90" i="7"/>
  <c r="B83" i="7"/>
  <c r="D83" i="7" s="1"/>
  <c r="E80" i="7"/>
  <c r="E76" i="7"/>
  <c r="E72" i="7"/>
  <c r="C83" i="7"/>
  <c r="E83" i="7" s="1"/>
  <c r="D66" i="7"/>
  <c r="B70" i="7"/>
  <c r="D70" i="7" s="1"/>
  <c r="D62" i="7"/>
  <c r="D61" i="7"/>
  <c r="D53" i="7"/>
  <c r="D47" i="7"/>
  <c r="D43" i="7"/>
  <c r="D39" i="7"/>
  <c r="D36" i="7"/>
  <c r="B51" i="7"/>
  <c r="D24" i="7"/>
  <c r="D14" i="7"/>
  <c r="D37" i="7"/>
  <c r="E37" i="7"/>
  <c r="D12" i="7"/>
  <c r="B15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8" i="6"/>
  <c r="B49" i="6"/>
  <c r="B50" i="6"/>
  <c r="B51" i="6"/>
  <c r="B52" i="6" s="1"/>
  <c r="B57" i="6"/>
  <c r="B58" i="6"/>
  <c r="B60" i="6"/>
  <c r="B61" i="6" s="1"/>
  <c r="B63" i="6"/>
  <c r="B70" i="6" s="1"/>
  <c r="B64" i="6"/>
  <c r="B65" i="6"/>
  <c r="B66" i="6"/>
  <c r="B67" i="6"/>
  <c r="B68" i="6"/>
  <c r="B69" i="6"/>
  <c r="B74" i="6"/>
  <c r="B79" i="6" s="1"/>
  <c r="B75" i="6"/>
  <c r="B76" i="6"/>
  <c r="B77" i="6"/>
  <c r="B78" i="6"/>
  <c r="C7" i="4"/>
  <c r="B8" i="4"/>
  <c r="C8" i="4" s="1"/>
  <c r="B9" i="4"/>
  <c r="C9" i="4"/>
  <c r="B10" i="4"/>
  <c r="C10" i="4" s="1"/>
  <c r="C12" i="4"/>
  <c r="B13" i="4"/>
  <c r="C13" i="4"/>
  <c r="B14" i="4"/>
  <c r="B18" i="4" s="1"/>
  <c r="C18" i="4" s="1"/>
  <c r="C14" i="4"/>
  <c r="C15" i="4"/>
  <c r="B16" i="4"/>
  <c r="C16" i="4"/>
  <c r="B17" i="4"/>
  <c r="C17" i="4" s="1"/>
  <c r="C19" i="4"/>
  <c r="B20" i="4"/>
  <c r="C20" i="4"/>
  <c r="B21" i="4"/>
  <c r="B22" i="4" s="1"/>
  <c r="C22" i="4" s="1"/>
  <c r="C21" i="4"/>
  <c r="B23" i="4"/>
  <c r="C23" i="4"/>
  <c r="C27" i="4"/>
  <c r="B28" i="4"/>
  <c r="C28" i="4"/>
  <c r="B29" i="4"/>
  <c r="C29" i="4" s="1"/>
  <c r="B30" i="4"/>
  <c r="C30" i="4"/>
  <c r="B31" i="4"/>
  <c r="C31" i="4" s="1"/>
  <c r="B32" i="4"/>
  <c r="C32" i="4"/>
  <c r="B33" i="4"/>
  <c r="C33" i="4" s="1"/>
  <c r="B34" i="4"/>
  <c r="C34" i="4"/>
  <c r="B35" i="4"/>
  <c r="C35" i="4" s="1"/>
  <c r="B36" i="4"/>
  <c r="C36" i="4"/>
  <c r="B37" i="4"/>
  <c r="C37" i="4" s="1"/>
  <c r="B38" i="4"/>
  <c r="C38" i="4"/>
  <c r="B39" i="4"/>
  <c r="C39" i="4" s="1"/>
  <c r="B40" i="4"/>
  <c r="C40" i="4"/>
  <c r="B41" i="4"/>
  <c r="C41" i="4" s="1"/>
  <c r="C42" i="4"/>
  <c r="B43" i="4"/>
  <c r="B44" i="4" s="1"/>
  <c r="C44" i="4" s="1"/>
  <c r="C43" i="4"/>
  <c r="C45" i="4"/>
  <c r="B46" i="4"/>
  <c r="C46" i="4" s="1"/>
  <c r="B47" i="4"/>
  <c r="C47" i="4"/>
  <c r="B48" i="4"/>
  <c r="C48" i="4" s="1"/>
  <c r="C50" i="4"/>
  <c r="B51" i="4"/>
  <c r="C51" i="4"/>
  <c r="B52" i="4"/>
  <c r="B53" i="4" s="1"/>
  <c r="C53" i="4" s="1"/>
  <c r="C52" i="4"/>
  <c r="C54" i="4"/>
  <c r="B55" i="4"/>
  <c r="C55" i="4" s="1"/>
  <c r="B56" i="4"/>
  <c r="C56" i="4"/>
  <c r="B57" i="4"/>
  <c r="C57" i="4" s="1"/>
  <c r="B58" i="4"/>
  <c r="C58" i="4"/>
  <c r="B59" i="4"/>
  <c r="C59" i="4" s="1"/>
  <c r="B60" i="4"/>
  <c r="C60" i="4"/>
  <c r="B61" i="4"/>
  <c r="C61" i="4" s="1"/>
  <c r="B62" i="4"/>
  <c r="C62" i="4"/>
  <c r="B63" i="4"/>
  <c r="C63" i="4" s="1"/>
  <c r="C64" i="4"/>
  <c r="B65" i="4"/>
  <c r="B70" i="4" s="1"/>
  <c r="C70" i="4" s="1"/>
  <c r="C65" i="4"/>
  <c r="B66" i="4"/>
  <c r="C66" i="4"/>
  <c r="B67" i="4"/>
  <c r="C67" i="4"/>
  <c r="B68" i="4"/>
  <c r="C68" i="4"/>
  <c r="B69" i="4"/>
  <c r="C69" i="4"/>
  <c r="C71" i="4"/>
  <c r="B72" i="4"/>
  <c r="C72" i="4" s="1"/>
  <c r="B73" i="4"/>
  <c r="C73" i="4"/>
  <c r="B74" i="4"/>
  <c r="C74" i="4" s="1"/>
  <c r="C76" i="4"/>
  <c r="B77" i="4"/>
  <c r="C77" i="4"/>
  <c r="B78" i="4"/>
  <c r="C78" i="4"/>
  <c r="C79" i="4"/>
  <c r="C80" i="4"/>
  <c r="B81" i="4"/>
  <c r="B82" i="4" s="1"/>
  <c r="C81" i="4"/>
  <c r="C58" i="1"/>
  <c r="B58" i="1"/>
  <c r="B59" i="1" s="1"/>
  <c r="C59" i="1" s="1"/>
  <c r="C57" i="1"/>
  <c r="B55" i="1"/>
  <c r="C55" i="1" s="1"/>
  <c r="B54" i="1"/>
  <c r="B56" i="1" s="1"/>
  <c r="C56" i="1" s="1"/>
  <c r="C53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B52" i="1" s="1"/>
  <c r="C52" i="1" s="1"/>
  <c r="C44" i="1"/>
  <c r="B42" i="1"/>
  <c r="B43" i="1" s="1"/>
  <c r="C43" i="1" s="1"/>
  <c r="C41" i="1"/>
  <c r="C39" i="1"/>
  <c r="B39" i="1"/>
  <c r="C38" i="1"/>
  <c r="B38" i="1"/>
  <c r="B40" i="1" s="1"/>
  <c r="C40" i="1" s="1"/>
  <c r="C37" i="1"/>
  <c r="B35" i="1"/>
  <c r="B36" i="1" s="1"/>
  <c r="C36" i="1" s="1"/>
  <c r="C34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B33" i="1" s="1"/>
  <c r="C22" i="1"/>
  <c r="B17" i="1"/>
  <c r="B18" i="1" s="1"/>
  <c r="C18" i="1" s="1"/>
  <c r="C16" i="1"/>
  <c r="C13" i="1"/>
  <c r="B13" i="1"/>
  <c r="B14" i="1" s="1"/>
  <c r="C14" i="1" s="1"/>
  <c r="C12" i="1"/>
  <c r="B11" i="1"/>
  <c r="C10" i="1"/>
  <c r="C8" i="1"/>
  <c r="B8" i="1"/>
  <c r="B9" i="1" s="1"/>
  <c r="C7" i="1"/>
  <c r="B32" i="7" l="1"/>
  <c r="D15" i="7"/>
  <c r="E25" i="7"/>
  <c r="D25" i="7"/>
  <c r="E15" i="7"/>
  <c r="C32" i="7"/>
  <c r="B124" i="7"/>
  <c r="D51" i="7"/>
  <c r="E122" i="7"/>
  <c r="D122" i="7"/>
  <c r="E113" i="7"/>
  <c r="C114" i="7"/>
  <c r="E114" i="7" s="1"/>
  <c r="D95" i="7"/>
  <c r="B114" i="7"/>
  <c r="D113" i="7"/>
  <c r="C124" i="7"/>
  <c r="E124" i="7" s="1"/>
  <c r="D63" i="7"/>
  <c r="E57" i="7"/>
  <c r="D57" i="7"/>
  <c r="D108" i="7"/>
  <c r="D103" i="7"/>
  <c r="E70" i="7"/>
  <c r="B71" i="6"/>
  <c r="B72" i="6" s="1"/>
  <c r="B80" i="6" s="1"/>
  <c r="C82" i="4"/>
  <c r="B83" i="4"/>
  <c r="C83" i="4" s="1"/>
  <c r="B75" i="4"/>
  <c r="C75" i="4" s="1"/>
  <c r="B49" i="4"/>
  <c r="C49" i="4" s="1"/>
  <c r="B11" i="4"/>
  <c r="B84" i="4"/>
  <c r="C84" i="4" s="1"/>
  <c r="C9" i="1"/>
  <c r="B19" i="1"/>
  <c r="C33" i="1"/>
  <c r="B60" i="1"/>
  <c r="C60" i="1" s="1"/>
  <c r="B15" i="1"/>
  <c r="C15" i="1" s="1"/>
  <c r="C11" i="1"/>
  <c r="C54" i="1"/>
  <c r="C17" i="1"/>
  <c r="C35" i="1"/>
  <c r="C42" i="1"/>
  <c r="B33" i="7" l="1"/>
  <c r="D32" i="7"/>
  <c r="D124" i="7"/>
  <c r="D114" i="7"/>
  <c r="E32" i="7"/>
  <c r="C33" i="7"/>
  <c r="B24" i="4"/>
  <c r="C11" i="4"/>
  <c r="B20" i="1"/>
  <c r="C19" i="1"/>
  <c r="E33" i="7" l="1"/>
  <c r="C125" i="7"/>
  <c r="B125" i="7"/>
  <c r="D33" i="7"/>
  <c r="C24" i="4"/>
  <c r="B25" i="4"/>
  <c r="B61" i="1"/>
  <c r="C20" i="1"/>
  <c r="C126" i="7" l="1"/>
  <c r="E126" i="7" s="1"/>
  <c r="E125" i="7"/>
  <c r="B126" i="7"/>
  <c r="D125" i="7"/>
  <c r="B85" i="4"/>
  <c r="C25" i="4"/>
  <c r="B62" i="1"/>
  <c r="C62" i="1" s="1"/>
  <c r="C61" i="1"/>
  <c r="D126" i="7" l="1"/>
  <c r="B86" i="4"/>
  <c r="C86" i="4" s="1"/>
  <c r="C85" i="4"/>
</calcChain>
</file>

<file path=xl/sharedStrings.xml><?xml version="1.0" encoding="utf-8"?>
<sst xmlns="http://schemas.openxmlformats.org/spreadsheetml/2006/main" count="360" uniqueCount="214">
  <si>
    <t>Chapter</t>
  </si>
  <si>
    <t>TOTAL</t>
  </si>
  <si>
    <t>Income</t>
  </si>
  <si>
    <t xml:space="preserve">   4100 Dues &amp; Conference</t>
  </si>
  <si>
    <t xml:space="preserve">      4120 Dues - Chapter Only</t>
  </si>
  <si>
    <t xml:space="preserve">   Total 4100 Dues &amp; Conference</t>
  </si>
  <si>
    <t xml:space="preserve">   4400 Professional Development Income</t>
  </si>
  <si>
    <t xml:space="preserve">      4410 Webcast/Workshop Income</t>
  </si>
  <si>
    <t xml:space="preserve">      4420 Section-Wide Events Income</t>
  </si>
  <si>
    <t xml:space="preserve">         4428 AICP Pulications</t>
  </si>
  <si>
    <t xml:space="preserve">      Total 4420 Section-Wide Events Income</t>
  </si>
  <si>
    <t xml:space="preserve">   Total 4400 Professional Development Income</t>
  </si>
  <si>
    <t xml:space="preserve">   4500 Public Information Income</t>
  </si>
  <si>
    <t xml:space="preserve">      4520 Web Ad</t>
  </si>
  <si>
    <t xml:space="preserve">   Total 4500 Public Information Income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</si>
  <si>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</si>
  <si>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</si>
  <si>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</si>
  <si>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</si>
  <si>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</si>
  <si>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5120 Insurance Expense</t>
  </si>
  <si>
    <t xml:space="preserve">      5140 Telephone/Fax</t>
  </si>
  <si>
    <t xml:space="preserve">      5145 Office Supplies</t>
  </si>
  <si>
    <t xml:space="preserve">      5150 Postage</t>
  </si>
  <si>
    <t xml:space="preserve">      5170 Storage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</si>
  <si>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</si>
  <si>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</si>
  <si>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</si>
  <si>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</si>
  <si>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</si>
  <si>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5200 President Expense</t>
  </si>
  <si>
    <t xml:space="preserve">      5210 Meeting &amp; Conference/State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</si>
  <si>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</si>
  <si>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</si>
  <si>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</si>
  <si>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</si>
  <si>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Total 5300 Policy &amp; Legislation</t>
  </si>
  <si>
    <t xml:space="preserve">   5400 Professional Development</t>
  </si>
  <si>
    <t xml:space="preserve">      5415 Webinars/Workshops</t>
  </si>
  <si>
    <t xml:space="preserve">   Total 5400 Professional Development</t>
  </si>
  <si>
    <t xml:space="preserve">   5500 Public Information Expense</t>
  </si>
  <si>
    <t xml:space="preserve">      5510 Directory Maintenance - NHE</t>
  </si>
  <si>
    <t xml:space="preserve">      5515 News Distributions - ATEGO</t>
  </si>
  <si>
    <t xml:space="preserve">      5520 News &amp; Design - Gran Designs</t>
  </si>
  <si>
    <t xml:space="preserve">      5525 News Management - NHE</t>
  </si>
  <si>
    <t xml:space="preserve">      5530 Awards Program - Website Update</t>
  </si>
  <si>
    <t xml:space="preserve">      5535 Webmaster - ATEGO</t>
  </si>
  <si>
    <t xml:space="preserve">      5540 Website Hosting/Support</t>
  </si>
  <si>
    <t xml:space="preserve">   Total 5500 Public Information Expense</t>
  </si>
  <si>
    <t xml:space="preserve">   5600 Administrative</t>
  </si>
  <si>
    <t xml:space="preserve">      5610 Awards</t>
  </si>
  <si>
    <t xml:space="preserve">      5620 Bookkeeping/Accounting/Tax Services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</si>
  <si>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</si>
  <si>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</si>
  <si>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</si>
  <si>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Total 5700 Section Subventions</t>
  </si>
  <si>
    <t>Total Expenses</t>
  </si>
  <si>
    <t>Net Operating Income</t>
  </si>
  <si>
    <t>Net Income</t>
  </si>
  <si>
    <t>Monday, Jun 10, 2019 11:55:56 AM GMT-7 - Cash Basis</t>
  </si>
  <si>
    <t>APA California 2019 Conference</t>
  </si>
  <si>
    <t>Profit and Loss by Class</t>
  </si>
  <si>
    <t>May 2019</t>
  </si>
  <si>
    <t>Monday, Jun 10, 2019 12:03:24 PM GMT-7 - Cash Basis</t>
  </si>
  <si>
    <t xml:space="preserve">   Total 6200 Conferences</t>
  </si>
  <si>
    <t xml:space="preserve">      Total 6480 Social Media</t>
  </si>
  <si>
    <t xml:space="preserve">         6481 Website</t>
  </si>
  <si>
    <t xml:space="preserve">      6480 Social Media</t>
  </si>
  <si>
    <t xml:space="preserve">   6200 Conferences</t>
  </si>
  <si>
    <t xml:space="preserve">   Total 5900 Other Expenses</t>
  </si>
  <si>
    <t xml:space="preserve">      5905 Chapter Historian</t>
  </si>
  <si>
    <t xml:space="preserve">   5900 Other Expenses</t>
  </si>
  <si>
    <t xml:space="preserve">      5720 Section State Conf. Rebate-PY</t>
  </si>
  <si>
    <t xml:space="preserve">      5706 CM Fees</t>
  </si>
  <si>
    <t xml:space="preserve">      5650 QBO Fee + Section Access</t>
  </si>
  <si>
    <t xml:space="preserve">      5625 Reserves/Savings Contributions</t>
  </si>
  <si>
    <t xml:space="preserve">      5615 Extra Award Expense</t>
  </si>
  <si>
    <t xml:space="preserve">      5521 News Production - Proofreader</t>
  </si>
  <si>
    <t xml:space="preserve">      5405 VP Professional Development</t>
  </si>
  <si>
    <t xml:space="preserve">      5315 VP Policy &amp; Legislation/Review</t>
  </si>
  <si>
    <t xml:space="preserve">      5155 Dues &amp; Subscriptions</t>
  </si>
  <si>
    <t xml:space="preserve">      5130 Speaker Fees</t>
  </si>
  <si>
    <t xml:space="preserve">      5125 Board Retreat</t>
  </si>
  <si>
    <t xml:space="preserve">   4950 Unrealized Gain(Loss)</t>
  </si>
  <si>
    <t xml:space="preserve">      4510 News - Ads</t>
  </si>
  <si>
    <t xml:space="preserve">      4405 AICP Publications</t>
  </si>
  <si>
    <t xml:space="preserve">      4126 Conference Profit - Prior Year</t>
  </si>
  <si>
    <t xml:space="preserve">      4115 Dues - National Subvention</t>
  </si>
  <si>
    <t>January - May, 2019</t>
  </si>
  <si>
    <t xml:space="preserve">   6439 Pre-Conference Session Expenses</t>
  </si>
  <si>
    <t xml:space="preserve">   Total 6300 Marketing &amp; Membership</t>
  </si>
  <si>
    <t xml:space="preserve">      6325 University Liaison</t>
  </si>
  <si>
    <t xml:space="preserve">      6320 Great Places</t>
  </si>
  <si>
    <t xml:space="preserve">      6315 Young Planners Group</t>
  </si>
  <si>
    <t xml:space="preserve">      6310 Membership Inclusion</t>
  </si>
  <si>
    <t xml:space="preserve">      6305 VP Marketing &amp; Membership</t>
  </si>
  <si>
    <t xml:space="preserve">   6300 Marketing &amp; Membership</t>
  </si>
  <si>
    <t xml:space="preserve">   6205 VP Conference Expense</t>
  </si>
  <si>
    <t xml:space="preserve">   6100 Commission &amp; Board Rep</t>
  </si>
  <si>
    <t xml:space="preserve">      5925 PEN Expense</t>
  </si>
  <si>
    <t xml:space="preserve">      5915 CSUN Archives</t>
  </si>
  <si>
    <t xml:space="preserve">      5730 Section Grants &amp; Projects/Extra 2016 Conf Profits</t>
  </si>
  <si>
    <t xml:space="preserve">      5725 Section Chapter-Only Rebate</t>
  </si>
  <si>
    <t xml:space="preserve">      5715 Section State Conference Rebate</t>
  </si>
  <si>
    <t xml:space="preserve">      5669 Future Expenditures</t>
  </si>
  <si>
    <t xml:space="preserve">      5668 Travel - National Conference - Staff</t>
  </si>
  <si>
    <t xml:space="preserve">      5645 Annual Report</t>
  </si>
  <si>
    <t xml:space="preserve">      5630 UBIT Tax-Unrelated Business Inc</t>
  </si>
  <si>
    <t xml:space="preserve">      5605 VP Administration Expense</t>
  </si>
  <si>
    <t xml:space="preserve">      5555 Other Public Information</t>
  </si>
  <si>
    <t xml:space="preserve">      5545 Website Redesign</t>
  </si>
  <si>
    <t xml:space="preserve">      5505 V.P. for Public Information Exp</t>
  </si>
  <si>
    <t xml:space="preserve">      5422 Programs &amp; Communications Coord.</t>
  </si>
  <si>
    <t xml:space="preserve">      5420 AICP Publications</t>
  </si>
  <si>
    <t xml:space="preserve">      5402 APA Anniversary Activities</t>
  </si>
  <si>
    <t xml:space="preserve">      5320 National Legislative Rep.</t>
  </si>
  <si>
    <t xml:space="preserve">      5230 Student Representative</t>
  </si>
  <si>
    <t xml:space="preserve">      5220 President-Elect/Past President</t>
  </si>
  <si>
    <t xml:space="preserve">      5215 Travel/National</t>
  </si>
  <si>
    <t xml:space="preserve">      5115 Board Meetings</t>
  </si>
  <si>
    <t xml:space="preserve">      5110 Operations/Miscellaneous</t>
  </si>
  <si>
    <t xml:space="preserve">   9200 Federal Tax Return</t>
  </si>
  <si>
    <t xml:space="preserve">   Total 4200 Administrative Income</t>
  </si>
  <si>
    <t xml:space="preserve">      4205 Extra Award Reimb</t>
  </si>
  <si>
    <t xml:space="preserve">   4200 Administrative Income</t>
  </si>
  <si>
    <t xml:space="preserve">      4128 Extra Conference Profit 2016 for Allocation</t>
  </si>
  <si>
    <t xml:space="preserve">      4127 Pre-Conference Session Profit</t>
  </si>
  <si>
    <t xml:space="preserve">      4125 Conference Profit</t>
  </si>
  <si>
    <t>% of Budget</t>
  </si>
  <si>
    <t>over Budget</t>
  </si>
  <si>
    <t>Budget</t>
  </si>
  <si>
    <t>Actual</t>
  </si>
  <si>
    <t>Budget vs. Actuals: Chapter 2019 (New) - FY19 P&amp;L  Classes</t>
  </si>
  <si>
    <t>Monday, Jun 10, 2019 12:07:49 PM GMT-7 - Cash Basis</t>
  </si>
  <si>
    <t>TOTAL LIABILITIES AND EQUITY</t>
  </si>
  <si>
    <t xml:space="preserve">   Total Equity</t>
  </si>
  <si>
    <t xml:space="preserve">      Net Income</t>
  </si>
  <si>
    <t xml:space="preserve">      3900 Unrestricted Net Assets</t>
  </si>
  <si>
    <t xml:space="preserve">      3200 Retained Earnings Conference</t>
  </si>
  <si>
    <t xml:space="preserve">      3100 Retained Earnings Sections</t>
  </si>
  <si>
    <t xml:space="preserve">      3000 Retained Earnings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</si>
  <si>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</si>
  <si>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</si>
  <si>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</si>
  <si>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</si>
  <si>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Seed Money Liability</t>
  </si>
  <si>
    <t xml:space="preserve">            2500 Inter-Fund Tranfers</t>
  </si>
  <si>
    <t xml:space="preserve">            2450 Payable to Chapter</t>
  </si>
  <si>
    <t xml:space="preserve">            2410 Due to Plan 4 Health</t>
  </si>
  <si>
    <t xml:space="preserve">            2400 Payable to Conference # 3</t>
  </si>
  <si>
    <t xml:space="preserve">            2300 Payable to Conference # 2</t>
  </si>
  <si>
    <t xml:space="preserve">            2200 Payable to Conference # 1</t>
  </si>
  <si>
    <t xml:space="preserve">         Other Current Liabilities</t>
  </si>
  <si>
    <t xml:space="preserve">         Total Credit Cards</t>
  </si>
  <si>
    <t xml:space="preserve">            8508 BofA Credit Card [Chapter]</t>
  </si>
  <si>
    <t xml:space="preserve">         Credit Cards</t>
  </si>
  <si>
    <t xml:space="preserve">         Total Accounts Payable</t>
  </si>
  <si>
    <t xml:space="preserve">            2000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</si>
  <si>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</si>
  <si>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</si>
  <si>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</si>
  <si>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</si>
  <si>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</si>
  <si>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Current Assets</t>
  </si>
  <si>
    <t xml:space="preserve">      Total Other Current Assets</t>
  </si>
  <si>
    <t xml:space="preserve">         12200 Loan to Conf #3</t>
  </si>
  <si>
    <t xml:space="preserve">         12000 Undeposited Funds</t>
  </si>
  <si>
    <t xml:space="preserve">      Other Current Assets</t>
  </si>
  <si>
    <t xml:space="preserve">      Total Bank Accounts</t>
  </si>
  <si>
    <t xml:space="preserve">         1065 Section Cash - Sacramento</t>
  </si>
  <si>
    <t xml:space="preserve">         1060 Section Cash - San Diego</t>
  </si>
  <si>
    <t xml:space="preserve">         1059 Janus Account Orange</t>
  </si>
  <si>
    <t xml:space="preserve">         1058 Citibank Checking - ORANGE</t>
  </si>
  <si>
    <t xml:space="preserve">         1057 Chase Scholarship - ORANGE</t>
  </si>
  <si>
    <t xml:space="preserve">         1056 Chase Checking - ORANGE</t>
  </si>
  <si>
    <t xml:space="preserve">         1055 Section Cash - Orange</t>
  </si>
  <si>
    <t xml:space="preserve">         1054 Chase Savings - ORANGE</t>
  </si>
  <si>
    <t xml:space="preserve">         1052 Wells Fargo Svgs - Northern</t>
  </si>
  <si>
    <t xml:space="preserve">         1051 Wells Fargo Ckg - Northern</t>
  </si>
  <si>
    <t xml:space="preserve">         1050 Section Cash - Northern</t>
  </si>
  <si>
    <t xml:space="preserve">         1047 Los Angeles - Savings</t>
  </si>
  <si>
    <t xml:space="preserve">         1046 Los Angeles - Checking</t>
  </si>
  <si>
    <t xml:space="preserve">         1045 Section Cash - Los Angeles</t>
  </si>
  <si>
    <t xml:space="preserve">         1040 Section Cash - Inland Empire</t>
  </si>
  <si>
    <t xml:space="preserve">         1034 B of A Checking - CENTRAL</t>
  </si>
  <si>
    <t xml:space="preserve">         1033 Section Cash - Central</t>
  </si>
  <si>
    <t xml:space="preserve">         1032 Section Cash - Central Coast</t>
  </si>
  <si>
    <t xml:space="preserve">         1031 Wells Fargo Brokerage - Central Coast</t>
  </si>
  <si>
    <t xml:space="preserve">         1030 WFB Checking - Central Coast</t>
  </si>
  <si>
    <t xml:space="preserve">         1028 Inland Empire Union Bank Ckg</t>
  </si>
  <si>
    <t xml:space="preserve">         1027 San Diego CCu Cert #39</t>
  </si>
  <si>
    <t xml:space="preserve">         1026 San Diego CCU Cert #38</t>
  </si>
  <si>
    <t xml:space="preserve">         1025 San Diego CCU Cert #36</t>
  </si>
  <si>
    <t xml:space="preserve">         1024 San Diego CCU MM#01</t>
  </si>
  <si>
    <t xml:space="preserve">         1023 San Diego CCU Sav #00</t>
  </si>
  <si>
    <t xml:space="preserve">         1022 San Diego CCU Ckg #96</t>
  </si>
  <si>
    <t xml:space="preserve">         1019 B of A-Conference #4 - 2021</t>
  </si>
  <si>
    <t xml:space="preserve">         1018 B of A - Conference # 3 (#7129) - 2018</t>
  </si>
  <si>
    <t xml:space="preserve">         1015 B of A - Conference # 2 (#3350) - 2020</t>
  </si>
  <si>
    <t xml:space="preserve">         1014 B of A - Conference # 1 (#1444) - 2019</t>
  </si>
  <si>
    <t xml:space="preserve">         1010 Bank of America - Chapter</t>
  </si>
  <si>
    <t xml:space="preserve">         1007 Capital One 360 - Sac Valley</t>
  </si>
  <si>
    <t xml:space="preserve">         1006 River City Bank - Sac Valley</t>
  </si>
  <si>
    <t xml:space="preserve">         1005 River City Bank - Chapter</t>
  </si>
  <si>
    <t xml:space="preserve">         1001 Plan4Health Checking</t>
  </si>
  <si>
    <t xml:space="preserve">         1000 American Funds - Class A</t>
  </si>
  <si>
    <t xml:space="preserve">      Bank Accounts</t>
  </si>
  <si>
    <t xml:space="preserve">   Current Assets</t>
  </si>
  <si>
    <t>ASSETS</t>
  </si>
  <si>
    <t>Total</t>
  </si>
  <si>
    <t>As of May 31, 2019</t>
  </si>
  <si>
    <t>Balance Sheet</t>
  </si>
  <si>
    <t>Negative due to reimbursements from sections from prior year.</t>
  </si>
  <si>
    <t>Monday, Jun 10, 2019 12:53:34 PM GMT-7 -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</si>
</sst>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0" fillId="0" borderId="0" xfId="0"/>
    <xf numFmtId="10" fontId="2" fillId="0" borderId="3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opLeftCell="A46" workbookViewId="0">
      <selection sqref="A1:C1"/>
    </sheetView>
  </sheetViews>
  <sheetFormatPr defaultRowHeight="15" x14ac:dyDescent="0.25"/>
  <cols>
    <col min="1" max="1" width="40.42578125" customWidth="1"/>
    <col min="2" max="3" width="18" customWidth="1"/>
  </cols>
  <sheetData>
    <row r="1" spans="1:3" ht="18" x14ac:dyDescent="0.25">
      <c r="A1" s="15" t="s">
        <v>60</v>
      </c>
      <c r="B1" s="14"/>
      <c r="C1" s="14"/>
    </row>
    <row r="2" spans="1:3" ht="18" x14ac:dyDescent="0.25">
      <c r="A2" s="15" t="s">
        <v>61</v>
      </c>
      <c r="B2" s="14"/>
      <c r="C2" s="14"/>
    </row>
    <row r="3" spans="1:3" x14ac:dyDescent="0.25">
      <c r="A3" s="16" t="s">
        <v>62</v>
      </c>
      <c r="B3" s="14"/>
      <c r="C3" s="14"/>
    </row>
    <row r="5" spans="1:3" x14ac:dyDescent="0.25">
      <c r="A5" s="1"/>
      <c r="B5" s="2" t="s">
        <v>0</v>
      </c>
      <c r="C5" s="2" t="s">
        <v>1</v>
      </c>
    </row>
    <row r="6" spans="1:3" x14ac:dyDescent="0.25">
      <c r="A6" s="3" t="s">
        <v>2</v>
      </c>
      <c r="B6" s="4"/>
      <c r="C6" s="4"/>
    </row>
    <row r="7" spans="1:3" x14ac:dyDescent="0.25">
      <c r="A7" s="3" t="s">
        <v>3</v>
      </c>
      <c r="B7" s="4"/>
      <c r="C7" s="5">
        <f t="shared" ref="C7:C20" si="0">B7</f>
        <v>0</v>
      </c>
    </row>
    <row r="8" spans="1:3" x14ac:dyDescent="0.25">
      <c r="A8" s="3" t="s">
        <v>4</v>
      </c>
      <c r="B8" s="5">
        <f>1495</f>
        <v>1495</v>
      </c>
      <c r="C8" s="5">
        <f t="shared" si="0"/>
        <v>1495</v>
      </c>
    </row>
    <row r="9" spans="1:3" x14ac:dyDescent="0.25">
      <c r="A9" s="3" t="s">
        <v>5</v>
      </c>
      <c r="B9" s="6">
        <f>(B7)+(B8)</f>
        <v>1495</v>
      </c>
      <c r="C9" s="6">
        <f t="shared" si="0"/>
        <v>1495</v>
      </c>
    </row>
    <row r="10" spans="1:3" x14ac:dyDescent="0.25">
      <c r="A10" s="3" t="s">
        <v>6</v>
      </c>
      <c r="B10" s="4"/>
      <c r="C10" s="5">
        <f t="shared" si="0"/>
        <v>0</v>
      </c>
    </row>
    <row r="11" spans="1:3" x14ac:dyDescent="0.25">
      <c r="A11" s="3" t="s">
        <v>7</v>
      </c>
      <c r="B11" s="5">
        <f>405</f>
        <v>405</v>
      </c>
      <c r="C11" s="5">
        <f t="shared" si="0"/>
        <v>405</v>
      </c>
    </row>
    <row r="12" spans="1:3" x14ac:dyDescent="0.25">
      <c r="A12" s="3" t="s">
        <v>8</v>
      </c>
      <c r="B12" s="4"/>
      <c r="C12" s="5">
        <f t="shared" si="0"/>
        <v>0</v>
      </c>
    </row>
    <row r="13" spans="1:3" x14ac:dyDescent="0.25">
      <c r="A13" s="3" t="s">
        <v>9</v>
      </c>
      <c r="B13" s="5">
        <f>15</f>
        <v>15</v>
      </c>
      <c r="C13" s="5">
        <f t="shared" si="0"/>
        <v>15</v>
      </c>
    </row>
    <row r="14" spans="1:3" x14ac:dyDescent="0.25">
      <c r="A14" s="3" t="s">
        <v>10</v>
      </c>
      <c r="B14" s="6">
        <f>(B12)+(B13)</f>
        <v>15</v>
      </c>
      <c r="C14" s="6">
        <f t="shared" si="0"/>
        <v>15</v>
      </c>
    </row>
    <row r="15" spans="1:3" x14ac:dyDescent="0.25">
      <c r="A15" s="3" t="s">
        <v>11</v>
      </c>
      <c r="B15" s="6">
        <f>((B10)+(B11))+(B14)</f>
        <v>420</v>
      </c>
      <c r="C15" s="6">
        <f t="shared" si="0"/>
        <v>420</v>
      </c>
    </row>
    <row r="16" spans="1:3" x14ac:dyDescent="0.25">
      <c r="A16" s="3" t="s">
        <v>12</v>
      </c>
      <c r="B16" s="4"/>
      <c r="C16" s="5">
        <f t="shared" si="0"/>
        <v>0</v>
      </c>
    </row>
    <row r="17" spans="1:3" x14ac:dyDescent="0.25">
      <c r="A17" s="3" t="s">
        <v>13</v>
      </c>
      <c r="B17" s="5">
        <f>5335</f>
        <v>5335</v>
      </c>
      <c r="C17" s="5">
        <f t="shared" si="0"/>
        <v>5335</v>
      </c>
    </row>
    <row r="18" spans="1:3" x14ac:dyDescent="0.25">
      <c r="A18" s="3" t="s">
        <v>14</v>
      </c>
      <c r="B18" s="6">
        <f>(B16)+(B17)</f>
        <v>5335</v>
      </c>
      <c r="C18" s="6">
        <f t="shared" si="0"/>
        <v>5335</v>
      </c>
    </row>
    <row r="19" spans="1:3" x14ac:dyDescent="0.25">
      <c r="A19" s="3" t="s">
        <v>15</v>
      </c>
      <c r="B19" s="6">
        <f>((B9)+(B15))+(B18)</f>
        <v>7250</v>
      </c>
      <c r="C19" s="6">
        <f t="shared" si="0"/>
        <v>7250</v>
      </c>
    </row>
    <row r="20" spans="1:3" x14ac:dyDescent="0.25">
      <c r="A20" s="3" t="s">
        <v>16</v>
      </c>
      <c r="B20" s="6">
        <f>(B19)-(0)</f>
        <v>7250</v>
      </c>
      <c r="C20" s="6">
        <f t="shared" si="0"/>
        <v>7250</v>
      </c>
    </row>
    <row r="21" spans="1:3" x14ac:dyDescent="0.25">
      <c r="A21" s="3" t="s">
        <v>17</v>
      </c>
      <c r="B21" s="4"/>
      <c r="C21" s="4"/>
    </row>
    <row r="22" spans="1:3" x14ac:dyDescent="0.25">
      <c r="A22" s="3" t="s">
        <v>18</v>
      </c>
      <c r="B22" s="4"/>
      <c r="C22" s="5">
        <f t="shared" ref="C22:C62" si="1">B22</f>
        <v>0</v>
      </c>
    </row>
    <row r="23" spans="1:3" x14ac:dyDescent="0.25">
      <c r="A23" s="3" t="s">
        <v>19</v>
      </c>
      <c r="B23" s="5">
        <f>11000</f>
        <v>11000</v>
      </c>
      <c r="C23" s="5">
        <f t="shared" si="1"/>
        <v>11000</v>
      </c>
    </row>
    <row r="24" spans="1:3" x14ac:dyDescent="0.25">
      <c r="A24" s="3" t="s">
        <v>20</v>
      </c>
      <c r="B24" s="5">
        <f>10</f>
        <v>10</v>
      </c>
      <c r="C24" s="5">
        <f t="shared" si="1"/>
        <v>10</v>
      </c>
    </row>
    <row r="25" spans="1:3" x14ac:dyDescent="0.25">
      <c r="A25" s="3" t="s">
        <v>21</v>
      </c>
      <c r="B25" s="5">
        <f>200</f>
        <v>200</v>
      </c>
      <c r="C25" s="5">
        <f t="shared" si="1"/>
        <v>200</v>
      </c>
    </row>
    <row r="26" spans="1:3" x14ac:dyDescent="0.25">
      <c r="A26" s="3" t="s">
        <v>22</v>
      </c>
      <c r="B26" s="5">
        <f>168.94</f>
        <v>168.94</v>
      </c>
      <c r="C26" s="5">
        <f t="shared" si="1"/>
        <v>168.94</v>
      </c>
    </row>
    <row r="27" spans="1:3" x14ac:dyDescent="0.25">
      <c r="A27" s="3" t="s">
        <v>23</v>
      </c>
      <c r="B27" s="5">
        <f>144.37</f>
        <v>144.37</v>
      </c>
      <c r="C27" s="5">
        <f t="shared" si="1"/>
        <v>144.37</v>
      </c>
    </row>
    <row r="28" spans="1:3" x14ac:dyDescent="0.25">
      <c r="A28" s="3" t="s">
        <v>24</v>
      </c>
      <c r="B28" s="5">
        <f>350</f>
        <v>350</v>
      </c>
      <c r="C28" s="5">
        <f t="shared" si="1"/>
        <v>350</v>
      </c>
    </row>
    <row r="29" spans="1:3" x14ac:dyDescent="0.25">
      <c r="A29" s="3" t="s">
        <v>25</v>
      </c>
      <c r="B29" s="5">
        <f>281.88</f>
        <v>281.88</v>
      </c>
      <c r="C29" s="5">
        <f t="shared" si="1"/>
        <v>281.88</v>
      </c>
    </row>
    <row r="30" spans="1:3" x14ac:dyDescent="0.25">
      <c r="A30" s="3" t="s">
        <v>26</v>
      </c>
      <c r="B30" s="5">
        <f>3375</f>
        <v>3375</v>
      </c>
      <c r="C30" s="5">
        <f t="shared" si="1"/>
        <v>3375</v>
      </c>
    </row>
    <row r="31" spans="1:3" x14ac:dyDescent="0.25">
      <c r="A31" s="3" t="s">
        <v>27</v>
      </c>
      <c r="B31" s="5">
        <f>4562.49</f>
        <v>4562.49</v>
      </c>
      <c r="C31" s="5">
        <f t="shared" si="1"/>
        <v>4562.49</v>
      </c>
    </row>
    <row r="32" spans="1:3" x14ac:dyDescent="0.25">
      <c r="A32" s="3" t="s">
        <v>28</v>
      </c>
      <c r="B32" s="5">
        <f>1</f>
        <v>1</v>
      </c>
      <c r="C32" s="5">
        <f t="shared" si="1"/>
        <v>1</v>
      </c>
    </row>
    <row r="33" spans="1:3" x14ac:dyDescent="0.25">
      <c r="A33" s="3" t="s">
        <v>29</v>
      </c>
      <c r="B33" s="6">
        <f>((((((((((B22)+(B23))+(B24))+(B25))+(B26))+(B27))+(B28))+(B29))+(B30))+(B31))+(B32)</f>
        <v>20093.68</v>
      </c>
      <c r="C33" s="6">
        <f t="shared" si="1"/>
        <v>20093.68</v>
      </c>
    </row>
    <row r="34" spans="1:3" x14ac:dyDescent="0.25">
      <c r="A34" s="3" t="s">
        <v>30</v>
      </c>
      <c r="B34" s="4"/>
      <c r="C34" s="5">
        <f t="shared" si="1"/>
        <v>0</v>
      </c>
    </row>
    <row r="35" spans="1:3" x14ac:dyDescent="0.25">
      <c r="A35" s="3" t="s">
        <v>31</v>
      </c>
      <c r="B35" s="5">
        <f>734.24</f>
        <v>734.24</v>
      </c>
      <c r="C35" s="5">
        <f t="shared" si="1"/>
        <v>734.24</v>
      </c>
    </row>
    <row r="36" spans="1:3" x14ac:dyDescent="0.25">
      <c r="A36" s="3" t="s">
        <v>32</v>
      </c>
      <c r="B36" s="6">
        <f>(B34)+(B35)</f>
        <v>734.24</v>
      </c>
      <c r="C36" s="6">
        <f t="shared" si="1"/>
        <v>734.24</v>
      </c>
    </row>
    <row r="37" spans="1:3" x14ac:dyDescent="0.25">
      <c r="A37" s="3" t="s">
        <v>33</v>
      </c>
      <c r="B37" s="4"/>
      <c r="C37" s="5">
        <f t="shared" si="1"/>
        <v>0</v>
      </c>
    </row>
    <row r="38" spans="1:3" x14ac:dyDescent="0.25">
      <c r="A38" s="3" t="s">
        <v>34</v>
      </c>
      <c r="B38" s="5">
        <f>16000</f>
        <v>16000</v>
      </c>
      <c r="C38" s="5">
        <f t="shared" si="1"/>
        <v>16000</v>
      </c>
    </row>
    <row r="39" spans="1:3" x14ac:dyDescent="0.25">
      <c r="A39" s="3" t="s">
        <v>35</v>
      </c>
      <c r="B39" s="5">
        <f>152</f>
        <v>152</v>
      </c>
      <c r="C39" s="5">
        <f t="shared" si="1"/>
        <v>152</v>
      </c>
    </row>
    <row r="40" spans="1:3" x14ac:dyDescent="0.25">
      <c r="A40" s="3" t="s">
        <v>36</v>
      </c>
      <c r="B40" s="6">
        <f>((B37)+(B38))+(B39)</f>
        <v>16152</v>
      </c>
      <c r="C40" s="6">
        <f t="shared" si="1"/>
        <v>16152</v>
      </c>
    </row>
    <row r="41" spans="1:3" x14ac:dyDescent="0.25">
      <c r="A41" s="3" t="s">
        <v>37</v>
      </c>
      <c r="B41" s="4"/>
      <c r="C41" s="5">
        <f t="shared" si="1"/>
        <v>0</v>
      </c>
    </row>
    <row r="42" spans="1:3" x14ac:dyDescent="0.25">
      <c r="A42" s="3" t="s">
        <v>38</v>
      </c>
      <c r="B42" s="5">
        <f>166.66</f>
        <v>166.66</v>
      </c>
      <c r="C42" s="5">
        <f t="shared" si="1"/>
        <v>166.66</v>
      </c>
    </row>
    <row r="43" spans="1:3" x14ac:dyDescent="0.25">
      <c r="A43" s="3" t="s">
        <v>39</v>
      </c>
      <c r="B43" s="6">
        <f>(B41)+(B42)</f>
        <v>166.66</v>
      </c>
      <c r="C43" s="6">
        <f t="shared" si="1"/>
        <v>166.66</v>
      </c>
    </row>
    <row r="44" spans="1:3" x14ac:dyDescent="0.25">
      <c r="A44" s="3" t="s">
        <v>40</v>
      </c>
      <c r="B44" s="4"/>
      <c r="C44" s="5">
        <f t="shared" si="1"/>
        <v>0</v>
      </c>
    </row>
    <row r="45" spans="1:3" x14ac:dyDescent="0.25">
      <c r="A45" s="3" t="s">
        <v>41</v>
      </c>
      <c r="B45" s="5">
        <f>1249.98</f>
        <v>1249.98</v>
      </c>
      <c r="C45" s="5">
        <f t="shared" si="1"/>
        <v>1249.98</v>
      </c>
    </row>
    <row r="46" spans="1:3" x14ac:dyDescent="0.25">
      <c r="A46" s="3" t="s">
        <v>42</v>
      </c>
      <c r="B46" s="5">
        <f>833.34</f>
        <v>833.34</v>
      </c>
      <c r="C46" s="5">
        <f t="shared" si="1"/>
        <v>833.34</v>
      </c>
    </row>
    <row r="47" spans="1:3" x14ac:dyDescent="0.25">
      <c r="A47" s="3" t="s">
        <v>43</v>
      </c>
      <c r="B47" s="5">
        <f>2558.33</f>
        <v>2558.33</v>
      </c>
      <c r="C47" s="5">
        <f t="shared" si="1"/>
        <v>2558.33</v>
      </c>
    </row>
    <row r="48" spans="1:3" x14ac:dyDescent="0.25">
      <c r="A48" s="3" t="s">
        <v>44</v>
      </c>
      <c r="B48" s="5">
        <f>833.32</f>
        <v>833.32</v>
      </c>
      <c r="C48" s="5">
        <f t="shared" si="1"/>
        <v>833.32</v>
      </c>
    </row>
    <row r="49" spans="1:3" x14ac:dyDescent="0.25">
      <c r="A49" s="3" t="s">
        <v>45</v>
      </c>
      <c r="B49" s="5">
        <f>624.99</f>
        <v>624.99</v>
      </c>
      <c r="C49" s="5">
        <f t="shared" si="1"/>
        <v>624.99</v>
      </c>
    </row>
    <row r="50" spans="1:3" x14ac:dyDescent="0.25">
      <c r="A50" s="3" t="s">
        <v>46</v>
      </c>
      <c r="B50" s="5">
        <f>1458.34</f>
        <v>1458.34</v>
      </c>
      <c r="C50" s="5">
        <f t="shared" si="1"/>
        <v>1458.34</v>
      </c>
    </row>
    <row r="51" spans="1:3" x14ac:dyDescent="0.25">
      <c r="A51" s="3" t="s">
        <v>47</v>
      </c>
      <c r="B51" s="5">
        <f>802</f>
        <v>802</v>
      </c>
      <c r="C51" s="5">
        <f t="shared" si="1"/>
        <v>802</v>
      </c>
    </row>
    <row r="52" spans="1:3" x14ac:dyDescent="0.25">
      <c r="A52" s="3" t="s">
        <v>48</v>
      </c>
      <c r="B52" s="6">
        <f>(((((((B44)+(B45))+(B46))+(B47))+(B48))+(B49))+(B50))+(B51)</f>
        <v>8360.2999999999993</v>
      </c>
      <c r="C52" s="6">
        <f t="shared" si="1"/>
        <v>8360.2999999999993</v>
      </c>
    </row>
    <row r="53" spans="1:3" x14ac:dyDescent="0.25">
      <c r="A53" s="3" t="s">
        <v>49</v>
      </c>
      <c r="B53" s="4"/>
      <c r="C53" s="5">
        <f t="shared" si="1"/>
        <v>0</v>
      </c>
    </row>
    <row r="54" spans="1:3" x14ac:dyDescent="0.25">
      <c r="A54" s="3" t="s">
        <v>50</v>
      </c>
      <c r="B54" s="5">
        <f>271.96</f>
        <v>271.95999999999998</v>
      </c>
      <c r="C54" s="5">
        <f t="shared" si="1"/>
        <v>271.95999999999998</v>
      </c>
    </row>
    <row r="55" spans="1:3" x14ac:dyDescent="0.25">
      <c r="A55" s="3" t="s">
        <v>51</v>
      </c>
      <c r="B55" s="5">
        <f>1470</f>
        <v>1470</v>
      </c>
      <c r="C55" s="5">
        <f t="shared" si="1"/>
        <v>1470</v>
      </c>
    </row>
    <row r="56" spans="1:3" x14ac:dyDescent="0.25">
      <c r="A56" s="3" t="s">
        <v>52</v>
      </c>
      <c r="B56" s="6">
        <f>((B53)+(B54))+(B55)</f>
        <v>1741.96</v>
      </c>
      <c r="C56" s="6">
        <f t="shared" si="1"/>
        <v>1741.96</v>
      </c>
    </row>
    <row r="57" spans="1:3" x14ac:dyDescent="0.25">
      <c r="A57" s="3" t="s">
        <v>53</v>
      </c>
      <c r="B57" s="4"/>
      <c r="C57" s="5">
        <f t="shared" si="1"/>
        <v>0</v>
      </c>
    </row>
    <row r="58" spans="1:3" x14ac:dyDescent="0.25">
      <c r="A58" s="3" t="s">
        <v>54</v>
      </c>
      <c r="B58" s="5">
        <f>18870.22</f>
        <v>18870.22</v>
      </c>
      <c r="C58" s="5">
        <f t="shared" si="1"/>
        <v>18870.22</v>
      </c>
    </row>
    <row r="59" spans="1:3" x14ac:dyDescent="0.25">
      <c r="A59" s="3" t="s">
        <v>55</v>
      </c>
      <c r="B59" s="6">
        <f>(B57)+(B58)</f>
        <v>18870.22</v>
      </c>
      <c r="C59" s="6">
        <f t="shared" si="1"/>
        <v>18870.22</v>
      </c>
    </row>
    <row r="60" spans="1:3" x14ac:dyDescent="0.25">
      <c r="A60" s="3" t="s">
        <v>56</v>
      </c>
      <c r="B60" s="6">
        <f>((((((B33)+(B36))+(B40))+(B43))+(B52))+(B56))+(B59)</f>
        <v>66119.06</v>
      </c>
      <c r="C60" s="6">
        <f t="shared" si="1"/>
        <v>66119.06</v>
      </c>
    </row>
    <row r="61" spans="1:3" x14ac:dyDescent="0.25">
      <c r="A61" s="3" t="s">
        <v>57</v>
      </c>
      <c r="B61" s="6">
        <f>(B20)-(B60)</f>
        <v>-58869.06</v>
      </c>
      <c r="C61" s="6">
        <f t="shared" si="1"/>
        <v>-58869.06</v>
      </c>
    </row>
    <row r="62" spans="1:3" x14ac:dyDescent="0.25">
      <c r="A62" s="3" t="s">
        <v>58</v>
      </c>
      <c r="B62" s="7">
        <f>(B61)+(0)</f>
        <v>-58869.06</v>
      </c>
      <c r="C62" s="7">
        <f t="shared" si="1"/>
        <v>-58869.06</v>
      </c>
    </row>
    <row r="63" spans="1:3" x14ac:dyDescent="0.25">
      <c r="A63" s="3"/>
      <c r="B63" s="4"/>
      <c r="C63" s="4"/>
    </row>
    <row r="66" spans="1:3" x14ac:dyDescent="0.25">
      <c r="A66" s="13" t="s">
        <v>59</v>
      </c>
      <c r="B66" s="14"/>
      <c r="C66" s="14"/>
    </row>
  </sheetData>
  <mergeCells count="4">
    <mergeCell ref="A66:C66"/>
    <mergeCell ref="A1:C1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C746-D301-4563-A7CB-459198A90ADB}">
  <dimension ref="A1:D90"/>
  <sheetViews>
    <sheetView topLeftCell="A67" workbookViewId="0">
      <selection activeCell="D29" sqref="D29"/>
    </sheetView>
  </sheetViews>
  <sheetFormatPr defaultRowHeight="15" x14ac:dyDescent="0.25"/>
  <cols>
    <col min="1" max="1" width="40.42578125" customWidth="1"/>
    <col min="2" max="3" width="18" customWidth="1"/>
  </cols>
  <sheetData>
    <row r="1" spans="1:3" ht="18" x14ac:dyDescent="0.25">
      <c r="A1" s="15" t="s">
        <v>60</v>
      </c>
      <c r="B1" s="14"/>
      <c r="C1" s="14"/>
    </row>
    <row r="2" spans="1:3" ht="18" x14ac:dyDescent="0.25">
      <c r="A2" s="15" t="s">
        <v>61</v>
      </c>
      <c r="B2" s="14"/>
      <c r="C2" s="14"/>
    </row>
    <row r="3" spans="1:3" x14ac:dyDescent="0.25">
      <c r="A3" s="16" t="s">
        <v>88</v>
      </c>
      <c r="B3" s="14"/>
      <c r="C3" s="14"/>
    </row>
    <row r="5" spans="1:3" x14ac:dyDescent="0.25">
      <c r="A5" s="1"/>
      <c r="B5" s="2" t="s">
        <v>0</v>
      </c>
      <c r="C5" s="2" t="s">
        <v>1</v>
      </c>
    </row>
    <row r="6" spans="1:3" x14ac:dyDescent="0.25">
      <c r="A6" s="3" t="s">
        <v>2</v>
      </c>
      <c r="B6" s="4"/>
      <c r="C6" s="4"/>
    </row>
    <row r="7" spans="1:3" x14ac:dyDescent="0.25">
      <c r="A7" s="3" t="s">
        <v>3</v>
      </c>
      <c r="B7" s="4"/>
      <c r="C7" s="5">
        <f t="shared" ref="C7:C25" si="0">B7</f>
        <v>0</v>
      </c>
    </row>
    <row r="8" spans="1:3" x14ac:dyDescent="0.25">
      <c r="A8" s="3" t="s">
        <v>87</v>
      </c>
      <c r="B8" s="5">
        <f>202263.44</f>
        <v>202263.44</v>
      </c>
      <c r="C8" s="5">
        <f t="shared" si="0"/>
        <v>202263.44</v>
      </c>
    </row>
    <row r="9" spans="1:3" x14ac:dyDescent="0.25">
      <c r="A9" s="3" t="s">
        <v>4</v>
      </c>
      <c r="B9" s="5">
        <f>7065</f>
        <v>7065</v>
      </c>
      <c r="C9" s="5">
        <f t="shared" si="0"/>
        <v>7065</v>
      </c>
    </row>
    <row r="10" spans="1:3" x14ac:dyDescent="0.25">
      <c r="A10" s="3" t="s">
        <v>86</v>
      </c>
      <c r="B10" s="5">
        <f>272109.41</f>
        <v>272109.40999999997</v>
      </c>
      <c r="C10" s="5">
        <f t="shared" si="0"/>
        <v>272109.40999999997</v>
      </c>
    </row>
    <row r="11" spans="1:3" x14ac:dyDescent="0.25">
      <c r="A11" s="3" t="s">
        <v>5</v>
      </c>
      <c r="B11" s="7">
        <f>(((B7)+(B8))+(B9))+(B10)</f>
        <v>481437.85</v>
      </c>
      <c r="C11" s="7">
        <f t="shared" si="0"/>
        <v>481437.85</v>
      </c>
    </row>
    <row r="12" spans="1:3" x14ac:dyDescent="0.25">
      <c r="A12" s="3" t="s">
        <v>6</v>
      </c>
      <c r="B12" s="4"/>
      <c r="C12" s="5">
        <f t="shared" si="0"/>
        <v>0</v>
      </c>
    </row>
    <row r="13" spans="1:3" x14ac:dyDescent="0.25">
      <c r="A13" s="3" t="s">
        <v>85</v>
      </c>
      <c r="B13" s="5">
        <f>45</f>
        <v>45</v>
      </c>
      <c r="C13" s="5">
        <f t="shared" si="0"/>
        <v>45</v>
      </c>
    </row>
    <row r="14" spans="1:3" x14ac:dyDescent="0.25">
      <c r="A14" s="3" t="s">
        <v>7</v>
      </c>
      <c r="B14" s="5">
        <f>1795</f>
        <v>1795</v>
      </c>
      <c r="C14" s="5">
        <f t="shared" si="0"/>
        <v>1795</v>
      </c>
    </row>
    <row r="15" spans="1:3" x14ac:dyDescent="0.25">
      <c r="A15" s="3" t="s">
        <v>8</v>
      </c>
      <c r="B15" s="4"/>
      <c r="C15" s="5">
        <f t="shared" si="0"/>
        <v>0</v>
      </c>
    </row>
    <row r="16" spans="1:3" x14ac:dyDescent="0.25">
      <c r="A16" s="3" t="s">
        <v>9</v>
      </c>
      <c r="B16" s="5">
        <f>15</f>
        <v>15</v>
      </c>
      <c r="C16" s="5">
        <f t="shared" si="0"/>
        <v>15</v>
      </c>
    </row>
    <row r="17" spans="1:4" x14ac:dyDescent="0.25">
      <c r="A17" s="3" t="s">
        <v>10</v>
      </c>
      <c r="B17" s="7">
        <f>(B15)+(B16)</f>
        <v>15</v>
      </c>
      <c r="C17" s="7">
        <f t="shared" si="0"/>
        <v>15</v>
      </c>
    </row>
    <row r="18" spans="1:4" x14ac:dyDescent="0.25">
      <c r="A18" s="3" t="s">
        <v>11</v>
      </c>
      <c r="B18" s="7">
        <f>(((B12)+(B13))+(B14))+(B17)</f>
        <v>1855</v>
      </c>
      <c r="C18" s="7">
        <f t="shared" si="0"/>
        <v>1855</v>
      </c>
    </row>
    <row r="19" spans="1:4" x14ac:dyDescent="0.25">
      <c r="A19" s="3" t="s">
        <v>12</v>
      </c>
      <c r="B19" s="4"/>
      <c r="C19" s="5">
        <f t="shared" si="0"/>
        <v>0</v>
      </c>
    </row>
    <row r="20" spans="1:4" x14ac:dyDescent="0.25">
      <c r="A20" s="3" t="s">
        <v>84</v>
      </c>
      <c r="B20" s="5">
        <f>1000</f>
        <v>1000</v>
      </c>
      <c r="C20" s="5">
        <f t="shared" si="0"/>
        <v>1000</v>
      </c>
    </row>
    <row r="21" spans="1:4" x14ac:dyDescent="0.25">
      <c r="A21" s="3" t="s">
        <v>13</v>
      </c>
      <c r="B21" s="5">
        <f>20655</f>
        <v>20655</v>
      </c>
      <c r="C21" s="5">
        <f t="shared" si="0"/>
        <v>20655</v>
      </c>
    </row>
    <row r="22" spans="1:4" x14ac:dyDescent="0.25">
      <c r="A22" s="3" t="s">
        <v>14</v>
      </c>
      <c r="B22" s="7">
        <f>((B19)+(B20))+(B21)</f>
        <v>21655</v>
      </c>
      <c r="C22" s="7">
        <f t="shared" si="0"/>
        <v>21655</v>
      </c>
    </row>
    <row r="23" spans="1:4" x14ac:dyDescent="0.25">
      <c r="A23" s="3" t="s">
        <v>83</v>
      </c>
      <c r="B23" s="5">
        <f>23710.01</f>
        <v>23710.01</v>
      </c>
      <c r="C23" s="5">
        <f t="shared" si="0"/>
        <v>23710.01</v>
      </c>
    </row>
    <row r="24" spans="1:4" x14ac:dyDescent="0.25">
      <c r="A24" s="3" t="s">
        <v>15</v>
      </c>
      <c r="B24" s="7">
        <f>(((B11)+(B18))+(B22))+(B23)</f>
        <v>528657.86</v>
      </c>
      <c r="C24" s="7">
        <f t="shared" si="0"/>
        <v>528657.86</v>
      </c>
    </row>
    <row r="25" spans="1:4" x14ac:dyDescent="0.25">
      <c r="A25" s="3" t="s">
        <v>16</v>
      </c>
      <c r="B25" s="7">
        <f>(B24)-(0)</f>
        <v>528657.86</v>
      </c>
      <c r="C25" s="7">
        <f t="shared" si="0"/>
        <v>528657.86</v>
      </c>
    </row>
    <row r="26" spans="1:4" x14ac:dyDescent="0.25">
      <c r="A26" s="3" t="s">
        <v>17</v>
      </c>
      <c r="B26" s="4"/>
      <c r="C26" s="4"/>
    </row>
    <row r="27" spans="1:4" x14ac:dyDescent="0.25">
      <c r="A27" s="3" t="s">
        <v>18</v>
      </c>
      <c r="B27" s="4"/>
      <c r="C27" s="5">
        <f t="shared" ref="C27:C58" si="1">B27</f>
        <v>0</v>
      </c>
    </row>
    <row r="28" spans="1:4" x14ac:dyDescent="0.25">
      <c r="A28" s="3" t="s">
        <v>19</v>
      </c>
      <c r="B28" s="5">
        <f>27500</f>
        <v>27500</v>
      </c>
      <c r="C28" s="5">
        <f t="shared" si="1"/>
        <v>27500</v>
      </c>
    </row>
    <row r="29" spans="1:4" x14ac:dyDescent="0.25">
      <c r="A29" s="3" t="s">
        <v>20</v>
      </c>
      <c r="B29" s="5">
        <f>-677.57</f>
        <v>-677.57</v>
      </c>
      <c r="C29" s="5">
        <f t="shared" si="1"/>
        <v>-677.57</v>
      </c>
      <c r="D29" t="s">
        <v>212</v>
      </c>
    </row>
    <row r="30" spans="1:4" x14ac:dyDescent="0.25">
      <c r="A30" s="3" t="s">
        <v>82</v>
      </c>
      <c r="B30" s="5">
        <f>14712.95</f>
        <v>14712.95</v>
      </c>
      <c r="C30" s="5">
        <f t="shared" si="1"/>
        <v>14712.95</v>
      </c>
    </row>
    <row r="31" spans="1:4" x14ac:dyDescent="0.25">
      <c r="A31" s="3" t="s">
        <v>81</v>
      </c>
      <c r="B31" s="5">
        <f>3000</f>
        <v>3000</v>
      </c>
      <c r="C31" s="5">
        <f t="shared" si="1"/>
        <v>3000</v>
      </c>
    </row>
    <row r="32" spans="1:4" x14ac:dyDescent="0.25">
      <c r="A32" s="3" t="s">
        <v>21</v>
      </c>
      <c r="B32" s="5">
        <f>500</f>
        <v>500</v>
      </c>
      <c r="C32" s="5">
        <f t="shared" si="1"/>
        <v>500</v>
      </c>
    </row>
    <row r="33" spans="1:3" x14ac:dyDescent="0.25">
      <c r="A33" s="3" t="s">
        <v>22</v>
      </c>
      <c r="B33" s="5">
        <f>407.78</f>
        <v>407.78</v>
      </c>
      <c r="C33" s="5">
        <f t="shared" si="1"/>
        <v>407.78</v>
      </c>
    </row>
    <row r="34" spans="1:3" x14ac:dyDescent="0.25">
      <c r="A34" s="3" t="s">
        <v>23</v>
      </c>
      <c r="B34" s="5">
        <f>352.29</f>
        <v>352.29</v>
      </c>
      <c r="C34" s="5">
        <f t="shared" si="1"/>
        <v>352.29</v>
      </c>
    </row>
    <row r="35" spans="1:3" x14ac:dyDescent="0.25">
      <c r="A35" s="3" t="s">
        <v>80</v>
      </c>
      <c r="B35" s="5">
        <f>20</f>
        <v>20</v>
      </c>
      <c r="C35" s="5">
        <f t="shared" si="1"/>
        <v>20</v>
      </c>
    </row>
    <row r="36" spans="1:3" x14ac:dyDescent="0.25">
      <c r="A36" s="3" t="s">
        <v>24</v>
      </c>
      <c r="B36" s="5">
        <f>875</f>
        <v>875</v>
      </c>
      <c r="C36" s="5">
        <f t="shared" si="1"/>
        <v>875</v>
      </c>
    </row>
    <row r="37" spans="1:3" x14ac:dyDescent="0.25">
      <c r="A37" s="3" t="s">
        <v>25</v>
      </c>
      <c r="B37" s="5">
        <f>1378.99</f>
        <v>1378.99</v>
      </c>
      <c r="C37" s="5">
        <f t="shared" si="1"/>
        <v>1378.99</v>
      </c>
    </row>
    <row r="38" spans="1:3" x14ac:dyDescent="0.25">
      <c r="A38" s="3" t="s">
        <v>26</v>
      </c>
      <c r="B38" s="5">
        <f>12375</f>
        <v>12375</v>
      </c>
      <c r="C38" s="5">
        <f t="shared" si="1"/>
        <v>12375</v>
      </c>
    </row>
    <row r="39" spans="1:3" x14ac:dyDescent="0.25">
      <c r="A39" s="3" t="s">
        <v>27</v>
      </c>
      <c r="B39" s="5">
        <f>15208.3</f>
        <v>15208.3</v>
      </c>
      <c r="C39" s="5">
        <f t="shared" si="1"/>
        <v>15208.3</v>
      </c>
    </row>
    <row r="40" spans="1:3" x14ac:dyDescent="0.25">
      <c r="A40" s="3" t="s">
        <v>28</v>
      </c>
      <c r="B40" s="5">
        <f>5</f>
        <v>5</v>
      </c>
      <c r="C40" s="5">
        <f t="shared" si="1"/>
        <v>5</v>
      </c>
    </row>
    <row r="41" spans="1:3" x14ac:dyDescent="0.25">
      <c r="A41" s="3" t="s">
        <v>29</v>
      </c>
      <c r="B41" s="7">
        <f>(((((((((((((B27)+(B28))+(B29))+(B30))+(B31))+(B32))+(B33))+(B34))+(B35))+(B36))+(B37))+(B38))+(B39))+(B40)</f>
        <v>75657.740000000005</v>
      </c>
      <c r="C41" s="7">
        <f t="shared" si="1"/>
        <v>75657.740000000005</v>
      </c>
    </row>
    <row r="42" spans="1:3" x14ac:dyDescent="0.25">
      <c r="A42" s="3" t="s">
        <v>30</v>
      </c>
      <c r="B42" s="4"/>
      <c r="C42" s="5">
        <f t="shared" si="1"/>
        <v>0</v>
      </c>
    </row>
    <row r="43" spans="1:3" x14ac:dyDescent="0.25">
      <c r="A43" s="3" t="s">
        <v>31</v>
      </c>
      <c r="B43" s="5">
        <f>4829.24</f>
        <v>4829.24</v>
      </c>
      <c r="C43" s="5">
        <f t="shared" si="1"/>
        <v>4829.24</v>
      </c>
    </row>
    <row r="44" spans="1:3" x14ac:dyDescent="0.25">
      <c r="A44" s="3" t="s">
        <v>32</v>
      </c>
      <c r="B44" s="7">
        <f>(B42)+(B43)</f>
        <v>4829.24</v>
      </c>
      <c r="C44" s="7">
        <f t="shared" si="1"/>
        <v>4829.24</v>
      </c>
    </row>
    <row r="45" spans="1:3" x14ac:dyDescent="0.25">
      <c r="A45" s="3" t="s">
        <v>33</v>
      </c>
      <c r="B45" s="4"/>
      <c r="C45" s="5">
        <f t="shared" si="1"/>
        <v>0</v>
      </c>
    </row>
    <row r="46" spans="1:3" x14ac:dyDescent="0.25">
      <c r="A46" s="3" t="s">
        <v>34</v>
      </c>
      <c r="B46" s="5">
        <f>40000</f>
        <v>40000</v>
      </c>
      <c r="C46" s="5">
        <f t="shared" si="1"/>
        <v>40000</v>
      </c>
    </row>
    <row r="47" spans="1:3" x14ac:dyDescent="0.25">
      <c r="A47" s="3" t="s">
        <v>35</v>
      </c>
      <c r="B47" s="5">
        <f>307.06</f>
        <v>307.06</v>
      </c>
      <c r="C47" s="5">
        <f t="shared" si="1"/>
        <v>307.06</v>
      </c>
    </row>
    <row r="48" spans="1:3" x14ac:dyDescent="0.25">
      <c r="A48" s="3" t="s">
        <v>79</v>
      </c>
      <c r="B48" s="5">
        <f>571.61</f>
        <v>571.61</v>
      </c>
      <c r="C48" s="5">
        <f t="shared" si="1"/>
        <v>571.61</v>
      </c>
    </row>
    <row r="49" spans="1:3" x14ac:dyDescent="0.25">
      <c r="A49" s="3" t="s">
        <v>36</v>
      </c>
      <c r="B49" s="7">
        <f>(((B45)+(B46))+(B47))+(B48)</f>
        <v>40878.67</v>
      </c>
      <c r="C49" s="7">
        <f t="shared" si="1"/>
        <v>40878.67</v>
      </c>
    </row>
    <row r="50" spans="1:3" x14ac:dyDescent="0.25">
      <c r="A50" s="3" t="s">
        <v>37</v>
      </c>
      <c r="B50" s="4"/>
      <c r="C50" s="5">
        <f t="shared" si="1"/>
        <v>0</v>
      </c>
    </row>
    <row r="51" spans="1:3" x14ac:dyDescent="0.25">
      <c r="A51" s="3" t="s">
        <v>78</v>
      </c>
      <c r="B51" s="5">
        <f>59.95</f>
        <v>59.95</v>
      </c>
      <c r="C51" s="5">
        <f t="shared" si="1"/>
        <v>59.95</v>
      </c>
    </row>
    <row r="52" spans="1:3" x14ac:dyDescent="0.25">
      <c r="A52" s="3" t="s">
        <v>38</v>
      </c>
      <c r="B52" s="5">
        <f>936.98</f>
        <v>936.98</v>
      </c>
      <c r="C52" s="5">
        <f t="shared" si="1"/>
        <v>936.98</v>
      </c>
    </row>
    <row r="53" spans="1:3" x14ac:dyDescent="0.25">
      <c r="A53" s="3" t="s">
        <v>39</v>
      </c>
      <c r="B53" s="7">
        <f>((B50)+(B51))+(B52)</f>
        <v>996.93000000000006</v>
      </c>
      <c r="C53" s="7">
        <f t="shared" si="1"/>
        <v>996.93000000000006</v>
      </c>
    </row>
    <row r="54" spans="1:3" x14ac:dyDescent="0.25">
      <c r="A54" s="3" t="s">
        <v>40</v>
      </c>
      <c r="B54" s="4"/>
      <c r="C54" s="5">
        <f t="shared" si="1"/>
        <v>0</v>
      </c>
    </row>
    <row r="55" spans="1:3" x14ac:dyDescent="0.25">
      <c r="A55" s="3" t="s">
        <v>41</v>
      </c>
      <c r="B55" s="5">
        <f>4166.61</f>
        <v>4166.6099999999997</v>
      </c>
      <c r="C55" s="5">
        <f t="shared" si="1"/>
        <v>4166.6099999999997</v>
      </c>
    </row>
    <row r="56" spans="1:3" x14ac:dyDescent="0.25">
      <c r="A56" s="3" t="s">
        <v>42</v>
      </c>
      <c r="B56" s="5">
        <f>2500.02</f>
        <v>2500.02</v>
      </c>
      <c r="C56" s="5">
        <f t="shared" si="1"/>
        <v>2500.02</v>
      </c>
    </row>
    <row r="57" spans="1:3" x14ac:dyDescent="0.25">
      <c r="A57" s="3" t="s">
        <v>43</v>
      </c>
      <c r="B57" s="5">
        <f>12791.65</f>
        <v>12791.65</v>
      </c>
      <c r="C57" s="5">
        <f t="shared" si="1"/>
        <v>12791.65</v>
      </c>
    </row>
    <row r="58" spans="1:3" x14ac:dyDescent="0.25">
      <c r="A58" s="3" t="s">
        <v>77</v>
      </c>
      <c r="B58" s="5">
        <f>350</f>
        <v>350</v>
      </c>
      <c r="C58" s="5">
        <f t="shared" si="1"/>
        <v>350</v>
      </c>
    </row>
    <row r="59" spans="1:3" x14ac:dyDescent="0.25">
      <c r="A59" s="3" t="s">
        <v>44</v>
      </c>
      <c r="B59" s="5">
        <f>2083.3</f>
        <v>2083.3000000000002</v>
      </c>
      <c r="C59" s="5">
        <f t="shared" ref="C59:C90" si="2">B59</f>
        <v>2083.3000000000002</v>
      </c>
    </row>
    <row r="60" spans="1:3" x14ac:dyDescent="0.25">
      <c r="A60" s="3" t="s">
        <v>45</v>
      </c>
      <c r="B60" s="5">
        <f>2083.31</f>
        <v>2083.31</v>
      </c>
      <c r="C60" s="5">
        <f t="shared" si="2"/>
        <v>2083.31</v>
      </c>
    </row>
    <row r="61" spans="1:3" x14ac:dyDescent="0.25">
      <c r="A61" s="3" t="s">
        <v>46</v>
      </c>
      <c r="B61" s="5">
        <f>4375.02</f>
        <v>4375.0200000000004</v>
      </c>
      <c r="C61" s="5">
        <f t="shared" si="2"/>
        <v>4375.0200000000004</v>
      </c>
    </row>
    <row r="62" spans="1:3" x14ac:dyDescent="0.25">
      <c r="A62" s="3" t="s">
        <v>47</v>
      </c>
      <c r="B62" s="5">
        <f>2758</f>
        <v>2758</v>
      </c>
      <c r="C62" s="5">
        <f t="shared" si="2"/>
        <v>2758</v>
      </c>
    </row>
    <row r="63" spans="1:3" x14ac:dyDescent="0.25">
      <c r="A63" s="3" t="s">
        <v>48</v>
      </c>
      <c r="B63" s="7">
        <f>((((((((B54)+(B55))+(B56))+(B57))+(B58))+(B59))+(B60))+(B61))+(B62)</f>
        <v>31107.91</v>
      </c>
      <c r="C63" s="7">
        <f t="shared" si="2"/>
        <v>31107.91</v>
      </c>
    </row>
    <row r="64" spans="1:3" x14ac:dyDescent="0.25">
      <c r="A64" s="3" t="s">
        <v>49</v>
      </c>
      <c r="B64" s="4"/>
      <c r="C64" s="5">
        <f t="shared" si="2"/>
        <v>0</v>
      </c>
    </row>
    <row r="65" spans="1:3" x14ac:dyDescent="0.25">
      <c r="A65" s="3" t="s">
        <v>50</v>
      </c>
      <c r="B65" s="5">
        <f>385.66</f>
        <v>385.66</v>
      </c>
      <c r="C65" s="5">
        <f t="shared" si="2"/>
        <v>385.66</v>
      </c>
    </row>
    <row r="66" spans="1:3" x14ac:dyDescent="0.25">
      <c r="A66" s="3" t="s">
        <v>76</v>
      </c>
      <c r="B66" s="5">
        <f>28.54</f>
        <v>28.54</v>
      </c>
      <c r="C66" s="5">
        <f t="shared" si="2"/>
        <v>28.54</v>
      </c>
    </row>
    <row r="67" spans="1:3" x14ac:dyDescent="0.25">
      <c r="A67" s="3" t="s">
        <v>51</v>
      </c>
      <c r="B67" s="5">
        <f>7049.8</f>
        <v>7049.8</v>
      </c>
      <c r="C67" s="5">
        <f t="shared" si="2"/>
        <v>7049.8</v>
      </c>
    </row>
    <row r="68" spans="1:3" x14ac:dyDescent="0.25">
      <c r="A68" s="3" t="s">
        <v>75</v>
      </c>
      <c r="B68" s="5">
        <f>300</f>
        <v>300</v>
      </c>
      <c r="C68" s="5">
        <f t="shared" si="2"/>
        <v>300</v>
      </c>
    </row>
    <row r="69" spans="1:3" x14ac:dyDescent="0.25">
      <c r="A69" s="3" t="s">
        <v>74</v>
      </c>
      <c r="B69" s="5">
        <f>110</f>
        <v>110</v>
      </c>
      <c r="C69" s="5">
        <f t="shared" si="2"/>
        <v>110</v>
      </c>
    </row>
    <row r="70" spans="1:3" x14ac:dyDescent="0.25">
      <c r="A70" s="3" t="s">
        <v>52</v>
      </c>
      <c r="B70" s="7">
        <f>(((((B64)+(B65))+(B66))+(B67))+(B68))+(B69)</f>
        <v>7874</v>
      </c>
      <c r="C70" s="7">
        <f t="shared" si="2"/>
        <v>7874</v>
      </c>
    </row>
    <row r="71" spans="1:3" x14ac:dyDescent="0.25">
      <c r="A71" s="3" t="s">
        <v>53</v>
      </c>
      <c r="B71" s="4"/>
      <c r="C71" s="5">
        <f t="shared" si="2"/>
        <v>0</v>
      </c>
    </row>
    <row r="72" spans="1:3" x14ac:dyDescent="0.25">
      <c r="A72" s="3" t="s">
        <v>54</v>
      </c>
      <c r="B72" s="5">
        <f>34384.79</f>
        <v>34384.79</v>
      </c>
      <c r="C72" s="5">
        <f t="shared" si="2"/>
        <v>34384.79</v>
      </c>
    </row>
    <row r="73" spans="1:3" x14ac:dyDescent="0.25">
      <c r="A73" s="3" t="s">
        <v>73</v>
      </c>
      <c r="B73" s="5">
        <f>3221</f>
        <v>3221</v>
      </c>
      <c r="C73" s="5">
        <f t="shared" si="2"/>
        <v>3221</v>
      </c>
    </row>
    <row r="74" spans="1:3" x14ac:dyDescent="0.25">
      <c r="A74" s="3" t="s">
        <v>72</v>
      </c>
      <c r="B74" s="5">
        <f>148054.7</f>
        <v>148054.70000000001</v>
      </c>
      <c r="C74" s="5">
        <f t="shared" si="2"/>
        <v>148054.70000000001</v>
      </c>
    </row>
    <row r="75" spans="1:3" x14ac:dyDescent="0.25">
      <c r="A75" s="3" t="s">
        <v>55</v>
      </c>
      <c r="B75" s="7">
        <f>(((B71)+(B72))+(B73))+(B74)</f>
        <v>185660.49000000002</v>
      </c>
      <c r="C75" s="7">
        <f t="shared" si="2"/>
        <v>185660.49000000002</v>
      </c>
    </row>
    <row r="76" spans="1:3" x14ac:dyDescent="0.25">
      <c r="A76" s="3" t="s">
        <v>71</v>
      </c>
      <c r="B76" s="4"/>
      <c r="C76" s="5">
        <f t="shared" si="2"/>
        <v>0</v>
      </c>
    </row>
    <row r="77" spans="1:3" x14ac:dyDescent="0.25">
      <c r="A77" s="3" t="s">
        <v>70</v>
      </c>
      <c r="B77" s="5">
        <f>17.84</f>
        <v>17.84</v>
      </c>
      <c r="C77" s="5">
        <f t="shared" si="2"/>
        <v>17.84</v>
      </c>
    </row>
    <row r="78" spans="1:3" x14ac:dyDescent="0.25">
      <c r="A78" s="3" t="s">
        <v>69</v>
      </c>
      <c r="B78" s="7">
        <f>(B76)+(B77)</f>
        <v>17.84</v>
      </c>
      <c r="C78" s="7">
        <f t="shared" si="2"/>
        <v>17.84</v>
      </c>
    </row>
    <row r="79" spans="1:3" x14ac:dyDescent="0.25">
      <c r="A79" s="3" t="s">
        <v>68</v>
      </c>
      <c r="B79" s="4"/>
      <c r="C79" s="5">
        <f t="shared" si="2"/>
        <v>0</v>
      </c>
    </row>
    <row r="80" spans="1:3" x14ac:dyDescent="0.25">
      <c r="A80" s="3" t="s">
        <v>67</v>
      </c>
      <c r="B80" s="4"/>
      <c r="C80" s="5">
        <f t="shared" si="2"/>
        <v>0</v>
      </c>
    </row>
    <row r="81" spans="1:3" x14ac:dyDescent="0.25">
      <c r="A81" s="3" t="s">
        <v>66</v>
      </c>
      <c r="B81" s="5">
        <f>1650</f>
        <v>1650</v>
      </c>
      <c r="C81" s="5">
        <f t="shared" si="2"/>
        <v>1650</v>
      </c>
    </row>
    <row r="82" spans="1:3" x14ac:dyDescent="0.25">
      <c r="A82" s="3" t="s">
        <v>65</v>
      </c>
      <c r="B82" s="7">
        <f>(B80)+(B81)</f>
        <v>1650</v>
      </c>
      <c r="C82" s="7">
        <f t="shared" si="2"/>
        <v>1650</v>
      </c>
    </row>
    <row r="83" spans="1:3" x14ac:dyDescent="0.25">
      <c r="A83" s="3" t="s">
        <v>64</v>
      </c>
      <c r="B83" s="7">
        <f>(B79)+(B82)</f>
        <v>1650</v>
      </c>
      <c r="C83" s="7">
        <f t="shared" si="2"/>
        <v>1650</v>
      </c>
    </row>
    <row r="84" spans="1:3" x14ac:dyDescent="0.25">
      <c r="A84" s="3" t="s">
        <v>56</v>
      </c>
      <c r="B84" s="7">
        <f>((((((((B41)+(B44))+(B49))+(B53))+(B63))+(B70))+(B75))+(B78))+(B83)</f>
        <v>348672.82</v>
      </c>
      <c r="C84" s="7">
        <f t="shared" si="2"/>
        <v>348672.82</v>
      </c>
    </row>
    <row r="85" spans="1:3" x14ac:dyDescent="0.25">
      <c r="A85" s="3" t="s">
        <v>57</v>
      </c>
      <c r="B85" s="7">
        <f>(B25)-(B84)</f>
        <v>179985.03999999998</v>
      </c>
      <c r="C85" s="7">
        <f t="shared" si="2"/>
        <v>179985.03999999998</v>
      </c>
    </row>
    <row r="86" spans="1:3" x14ac:dyDescent="0.25">
      <c r="A86" s="3" t="s">
        <v>58</v>
      </c>
      <c r="B86" s="7">
        <f>(B85)+(0)</f>
        <v>179985.03999999998</v>
      </c>
      <c r="C86" s="7">
        <f t="shared" si="2"/>
        <v>179985.03999999998</v>
      </c>
    </row>
    <row r="87" spans="1:3" x14ac:dyDescent="0.25">
      <c r="A87" s="3"/>
      <c r="B87" s="4"/>
      <c r="C87" s="4"/>
    </row>
    <row r="90" spans="1:3" x14ac:dyDescent="0.25">
      <c r="A90" s="13" t="s">
        <v>63</v>
      </c>
      <c r="B90" s="14"/>
      <c r="C90" s="14"/>
    </row>
  </sheetData>
  <mergeCells count="4">
    <mergeCell ref="A90:C90"/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943C-CC29-4DF8-BEB3-B4AA59493F15}">
  <dimension ref="A1:B84"/>
  <sheetViews>
    <sheetView topLeftCell="A61" workbookViewId="0">
      <selection sqref="A1:B1"/>
    </sheetView>
  </sheetViews>
  <sheetFormatPr defaultRowHeight="15" x14ac:dyDescent="0.25"/>
  <cols>
    <col min="1" max="1" width="45.5703125" customWidth="1"/>
    <col min="2" max="2" width="26.5703125" customWidth="1"/>
  </cols>
  <sheetData>
    <row r="1" spans="1:2" ht="18" x14ac:dyDescent="0.25">
      <c r="A1" s="15" t="s">
        <v>60</v>
      </c>
      <c r="B1" s="14"/>
    </row>
    <row r="2" spans="1:2" ht="18" x14ac:dyDescent="0.25">
      <c r="A2" s="15" t="s">
        <v>211</v>
      </c>
      <c r="B2" s="14"/>
    </row>
    <row r="3" spans="1:2" x14ac:dyDescent="0.25">
      <c r="A3" s="16" t="s">
        <v>210</v>
      </c>
      <c r="B3" s="14"/>
    </row>
    <row r="5" spans="1:2" x14ac:dyDescent="0.25">
      <c r="A5" s="1"/>
      <c r="B5" s="2" t="s">
        <v>209</v>
      </c>
    </row>
    <row r="6" spans="1:2" x14ac:dyDescent="0.25">
      <c r="A6" s="3" t="s">
        <v>208</v>
      </c>
      <c r="B6" s="4"/>
    </row>
    <row r="7" spans="1:2" x14ac:dyDescent="0.25">
      <c r="A7" s="3" t="s">
        <v>207</v>
      </c>
      <c r="B7" s="4"/>
    </row>
    <row r="8" spans="1:2" x14ac:dyDescent="0.25">
      <c r="A8" s="3" t="s">
        <v>206</v>
      </c>
      <c r="B8" s="4"/>
    </row>
    <row r="9" spans="1:2" x14ac:dyDescent="0.25">
      <c r="A9" s="3" t="s">
        <v>205</v>
      </c>
      <c r="B9" s="5">
        <f>322447.16</f>
        <v>322447.15999999997</v>
      </c>
    </row>
    <row r="10" spans="1:2" x14ac:dyDescent="0.25">
      <c r="A10" s="3" t="s">
        <v>204</v>
      </c>
      <c r="B10" s="5">
        <f>0</f>
        <v>0</v>
      </c>
    </row>
    <row r="11" spans="1:2" x14ac:dyDescent="0.25">
      <c r="A11" s="3" t="s">
        <v>203</v>
      </c>
      <c r="B11" s="5">
        <f>0</f>
        <v>0</v>
      </c>
    </row>
    <row r="12" spans="1:2" x14ac:dyDescent="0.25">
      <c r="A12" s="3" t="s">
        <v>202</v>
      </c>
      <c r="B12" s="5">
        <f>52382.64</f>
        <v>52382.64</v>
      </c>
    </row>
    <row r="13" spans="1:2" x14ac:dyDescent="0.25">
      <c r="A13" s="3" t="s">
        <v>201</v>
      </c>
      <c r="B13" s="5">
        <f>86022.03</f>
        <v>86022.03</v>
      </c>
    </row>
    <row r="14" spans="1:2" x14ac:dyDescent="0.25">
      <c r="A14" s="3" t="s">
        <v>200</v>
      </c>
      <c r="B14" s="5">
        <f>247303.12</f>
        <v>247303.12</v>
      </c>
    </row>
    <row r="15" spans="1:2" x14ac:dyDescent="0.25">
      <c r="A15" s="3" t="s">
        <v>199</v>
      </c>
      <c r="B15" s="5">
        <f>210555.88</f>
        <v>210555.88</v>
      </c>
    </row>
    <row r="16" spans="1:2" x14ac:dyDescent="0.25">
      <c r="A16" s="3" t="s">
        <v>198</v>
      </c>
      <c r="B16" s="5">
        <f>63757.57</f>
        <v>63757.57</v>
      </c>
    </row>
    <row r="17" spans="1:2" x14ac:dyDescent="0.25">
      <c r="A17" s="3" t="s">
        <v>197</v>
      </c>
      <c r="B17" s="5">
        <f>3202.65</f>
        <v>3202.65</v>
      </c>
    </row>
    <row r="18" spans="1:2" x14ac:dyDescent="0.25">
      <c r="A18" s="3" t="s">
        <v>196</v>
      </c>
      <c r="B18" s="5">
        <f>8810.27</f>
        <v>8810.27</v>
      </c>
    </row>
    <row r="19" spans="1:2" x14ac:dyDescent="0.25">
      <c r="A19" s="3" t="s">
        <v>195</v>
      </c>
      <c r="B19" s="5">
        <f>138304.67</f>
        <v>138304.67000000001</v>
      </c>
    </row>
    <row r="20" spans="1:2" x14ac:dyDescent="0.25">
      <c r="A20" s="3" t="s">
        <v>194</v>
      </c>
      <c r="B20" s="5">
        <f>50</f>
        <v>50</v>
      </c>
    </row>
    <row r="21" spans="1:2" x14ac:dyDescent="0.25">
      <c r="A21" s="3" t="s">
        <v>193</v>
      </c>
      <c r="B21" s="5">
        <f>8917.39</f>
        <v>8917.39</v>
      </c>
    </row>
    <row r="22" spans="1:2" x14ac:dyDescent="0.25">
      <c r="A22" s="3" t="s">
        <v>192</v>
      </c>
      <c r="B22" s="5">
        <f>23185.05</f>
        <v>23185.05</v>
      </c>
    </row>
    <row r="23" spans="1:2" x14ac:dyDescent="0.25">
      <c r="A23" s="3" t="s">
        <v>191</v>
      </c>
      <c r="B23" s="5">
        <f>23378.37</f>
        <v>23378.37</v>
      </c>
    </row>
    <row r="24" spans="1:2" x14ac:dyDescent="0.25">
      <c r="A24" s="3" t="s">
        <v>190</v>
      </c>
      <c r="B24" s="5">
        <f>16412.53</f>
        <v>16412.53</v>
      </c>
    </row>
    <row r="25" spans="1:2" x14ac:dyDescent="0.25">
      <c r="A25" s="3" t="s">
        <v>189</v>
      </c>
      <c r="B25" s="5">
        <f>41421.03</f>
        <v>41421.03</v>
      </c>
    </row>
    <row r="26" spans="1:2" x14ac:dyDescent="0.25">
      <c r="A26" s="3" t="s">
        <v>188</v>
      </c>
      <c r="B26" s="5">
        <f>9507.05</f>
        <v>9507.0499999999993</v>
      </c>
    </row>
    <row r="27" spans="1:2" x14ac:dyDescent="0.25">
      <c r="A27" s="3" t="s">
        <v>187</v>
      </c>
      <c r="B27" s="5">
        <f>32269.47</f>
        <v>32269.47</v>
      </c>
    </row>
    <row r="28" spans="1:2" x14ac:dyDescent="0.25">
      <c r="A28" s="3" t="s">
        <v>186</v>
      </c>
      <c r="B28" s="5">
        <f>0</f>
        <v>0</v>
      </c>
    </row>
    <row r="29" spans="1:2" x14ac:dyDescent="0.25">
      <c r="A29" s="3" t="s">
        <v>185</v>
      </c>
      <c r="B29" s="5">
        <f>0</f>
        <v>0</v>
      </c>
    </row>
    <row r="30" spans="1:2" x14ac:dyDescent="0.25">
      <c r="A30" s="3" t="s">
        <v>184</v>
      </c>
      <c r="B30" s="5">
        <f>112468.07</f>
        <v>112468.07</v>
      </c>
    </row>
    <row r="31" spans="1:2" x14ac:dyDescent="0.25">
      <c r="A31" s="3" t="s">
        <v>183</v>
      </c>
      <c r="B31" s="5">
        <f>0</f>
        <v>0</v>
      </c>
    </row>
    <row r="32" spans="1:2" x14ac:dyDescent="0.25">
      <c r="A32" s="3" t="s">
        <v>182</v>
      </c>
      <c r="B32" s="5">
        <f>0</f>
        <v>0</v>
      </c>
    </row>
    <row r="33" spans="1:2" x14ac:dyDescent="0.25">
      <c r="A33" s="3" t="s">
        <v>181</v>
      </c>
      <c r="B33" s="5">
        <f>44479.08</f>
        <v>44479.08</v>
      </c>
    </row>
    <row r="34" spans="1:2" x14ac:dyDescent="0.25">
      <c r="A34" s="3" t="s">
        <v>180</v>
      </c>
      <c r="B34" s="5">
        <f>155105.8</f>
        <v>155105.79999999999</v>
      </c>
    </row>
    <row r="35" spans="1:2" x14ac:dyDescent="0.25">
      <c r="A35" s="3" t="s">
        <v>179</v>
      </c>
      <c r="B35" s="5">
        <f>0</f>
        <v>0</v>
      </c>
    </row>
    <row r="36" spans="1:2" x14ac:dyDescent="0.25">
      <c r="A36" s="3" t="s">
        <v>178</v>
      </c>
      <c r="B36" s="5">
        <f>4094.43</f>
        <v>4094.43</v>
      </c>
    </row>
    <row r="37" spans="1:2" x14ac:dyDescent="0.25">
      <c r="A37" s="3" t="s">
        <v>177</v>
      </c>
      <c r="B37" s="5">
        <f>76108.58</f>
        <v>76108.58</v>
      </c>
    </row>
    <row r="38" spans="1:2" x14ac:dyDescent="0.25">
      <c r="A38" s="3" t="s">
        <v>176</v>
      </c>
      <c r="B38" s="5">
        <f>30502.83</f>
        <v>30502.83</v>
      </c>
    </row>
    <row r="39" spans="1:2" x14ac:dyDescent="0.25">
      <c r="A39" s="3" t="s">
        <v>175</v>
      </c>
      <c r="B39" s="5">
        <f>0</f>
        <v>0</v>
      </c>
    </row>
    <row r="40" spans="1:2" x14ac:dyDescent="0.25">
      <c r="A40" s="3" t="s">
        <v>174</v>
      </c>
      <c r="B40" s="5">
        <f>14293.01</f>
        <v>14293.01</v>
      </c>
    </row>
    <row r="41" spans="1:2" x14ac:dyDescent="0.25">
      <c r="A41" s="3" t="s">
        <v>173</v>
      </c>
      <c r="B41" s="5">
        <f>7572.67</f>
        <v>7572.67</v>
      </c>
    </row>
    <row r="42" spans="1:2" x14ac:dyDescent="0.25">
      <c r="A42" s="3" t="s">
        <v>172</v>
      </c>
      <c r="B42" s="5">
        <f>15339.86</f>
        <v>15339.86</v>
      </c>
    </row>
    <row r="43" spans="1:2" x14ac:dyDescent="0.25">
      <c r="A43" s="3" t="s">
        <v>171</v>
      </c>
      <c r="B43" s="5">
        <f>20045.35</f>
        <v>20045.349999999999</v>
      </c>
    </row>
    <row r="44" spans="1:2" x14ac:dyDescent="0.25">
      <c r="A44" s="3" t="s">
        <v>170</v>
      </c>
      <c r="B44" s="5">
        <f>0</f>
        <v>0</v>
      </c>
    </row>
    <row r="45" spans="1:2" x14ac:dyDescent="0.25">
      <c r="A45" s="3" t="s">
        <v>169</v>
      </c>
      <c r="B45" s="5">
        <f>0</f>
        <v>0</v>
      </c>
    </row>
    <row r="46" spans="1:2" x14ac:dyDescent="0.25">
      <c r="A46" s="3" t="s">
        <v>168</v>
      </c>
      <c r="B46" s="7">
        <f>((((((((((((((((((((((((((((((((((((B9)+(B10))+(B11))+(B12))+(B13))+(B14))+(B15))+(B16))+(B17))+(B18))+(B19))+(B20))+(B21))+(B22))+(B23))+(B24))+(B25))+(B26))+(B27))+(B28))+(B29))+(B30))+(B31))+(B32))+(B33))+(B34))+(B35))+(B36))+(B37))+(B38))+(B39))+(B40))+(B41))+(B42))+(B43))+(B44))+(B45)</f>
        <v>1767936.5600000005</v>
      </c>
    </row>
    <row r="47" spans="1:2" x14ac:dyDescent="0.25">
      <c r="A47" s="3" t="s">
        <v>167</v>
      </c>
      <c r="B47" s="4"/>
    </row>
    <row r="48" spans="1:2" x14ac:dyDescent="0.25">
      <c r="A48" s="3" t="s">
        <v>166</v>
      </c>
      <c r="B48" s="5">
        <f>0</f>
        <v>0</v>
      </c>
    </row>
    <row r="49" spans="1:2" x14ac:dyDescent="0.25">
      <c r="A49" s="3" t="s">
        <v>165</v>
      </c>
      <c r="B49" s="5">
        <f>0</f>
        <v>0</v>
      </c>
    </row>
    <row r="50" spans="1:2" x14ac:dyDescent="0.25">
      <c r="A50" s="3" t="s">
        <v>164</v>
      </c>
      <c r="B50" s="7">
        <f>(B48)+(B49)</f>
        <v>0</v>
      </c>
    </row>
    <row r="51" spans="1:2" x14ac:dyDescent="0.25">
      <c r="A51" s="3" t="s">
        <v>163</v>
      </c>
      <c r="B51" s="7">
        <f>(B46)+(B50)</f>
        <v>1767936.5600000005</v>
      </c>
    </row>
    <row r="52" spans="1:2" x14ac:dyDescent="0.25">
      <c r="A52" s="3" t="s">
        <v>162</v>
      </c>
      <c r="B52" s="7">
        <f>B51</f>
        <v>1767936.5600000005</v>
      </c>
    </row>
    <row r="53" spans="1:2" x14ac:dyDescent="0.25">
      <c r="A53" s="3" t="s">
        <v>161</v>
      </c>
      <c r="B53" s="4"/>
    </row>
    <row r="54" spans="1:2" x14ac:dyDescent="0.25">
      <c r="A54" s="3" t="s">
        <v>160</v>
      </c>
      <c r="B54" s="4"/>
    </row>
    <row r="55" spans="1:2" x14ac:dyDescent="0.25">
      <c r="A55" s="3" t="s">
        <v>159</v>
      </c>
      <c r="B55" s="4"/>
    </row>
    <row r="56" spans="1:2" x14ac:dyDescent="0.25">
      <c r="A56" s="3" t="s">
        <v>158</v>
      </c>
      <c r="B56" s="4"/>
    </row>
    <row r="57" spans="1:2" x14ac:dyDescent="0.25">
      <c r="A57" s="3" t="s">
        <v>157</v>
      </c>
      <c r="B57" s="5">
        <f>0</f>
        <v>0</v>
      </c>
    </row>
    <row r="58" spans="1:2" x14ac:dyDescent="0.25">
      <c r="A58" s="3" t="s">
        <v>156</v>
      </c>
      <c r="B58" s="7">
        <f>B57</f>
        <v>0</v>
      </c>
    </row>
    <row r="59" spans="1:2" x14ac:dyDescent="0.25">
      <c r="A59" s="3" t="s">
        <v>155</v>
      </c>
      <c r="B59" s="4"/>
    </row>
    <row r="60" spans="1:2" x14ac:dyDescent="0.25">
      <c r="A60" s="3" t="s">
        <v>154</v>
      </c>
      <c r="B60" s="5">
        <f>0</f>
        <v>0</v>
      </c>
    </row>
    <row r="61" spans="1:2" x14ac:dyDescent="0.25">
      <c r="A61" s="3" t="s">
        <v>153</v>
      </c>
      <c r="B61" s="7">
        <f>B60</f>
        <v>0</v>
      </c>
    </row>
    <row r="62" spans="1:2" x14ac:dyDescent="0.25">
      <c r="A62" s="3" t="s">
        <v>152</v>
      </c>
      <c r="B62" s="4"/>
    </row>
    <row r="63" spans="1:2" x14ac:dyDescent="0.25">
      <c r="A63" s="3" t="s">
        <v>151</v>
      </c>
      <c r="B63" s="5">
        <f>0</f>
        <v>0</v>
      </c>
    </row>
    <row r="64" spans="1:2" x14ac:dyDescent="0.25">
      <c r="A64" s="3" t="s">
        <v>150</v>
      </c>
      <c r="B64" s="5">
        <f>0</f>
        <v>0</v>
      </c>
    </row>
    <row r="65" spans="1:2" x14ac:dyDescent="0.25">
      <c r="A65" s="3" t="s">
        <v>149</v>
      </c>
      <c r="B65" s="5">
        <f>0</f>
        <v>0</v>
      </c>
    </row>
    <row r="66" spans="1:2" x14ac:dyDescent="0.25">
      <c r="A66" s="3" t="s">
        <v>148</v>
      </c>
      <c r="B66" s="5">
        <f>0</f>
        <v>0</v>
      </c>
    </row>
    <row r="67" spans="1:2" x14ac:dyDescent="0.25">
      <c r="A67" s="3" t="s">
        <v>147</v>
      </c>
      <c r="B67" s="5">
        <f>0</f>
        <v>0</v>
      </c>
    </row>
    <row r="68" spans="1:2" x14ac:dyDescent="0.25">
      <c r="A68" s="3" t="s">
        <v>146</v>
      </c>
      <c r="B68" s="5">
        <f>0</f>
        <v>0</v>
      </c>
    </row>
    <row r="69" spans="1:2" x14ac:dyDescent="0.25">
      <c r="A69" s="3" t="s">
        <v>145</v>
      </c>
      <c r="B69" s="5">
        <f>0</f>
        <v>0</v>
      </c>
    </row>
    <row r="70" spans="1:2" x14ac:dyDescent="0.25">
      <c r="A70" s="3" t="s">
        <v>144</v>
      </c>
      <c r="B70" s="7">
        <f>((((((B63)+(B64))+(B65))+(B66))+(B67))+(B68))+(B69)</f>
        <v>0</v>
      </c>
    </row>
    <row r="71" spans="1:2" x14ac:dyDescent="0.25">
      <c r="A71" s="3" t="s">
        <v>143</v>
      </c>
      <c r="B71" s="7">
        <f>((B58)+(B61))+(B70)</f>
        <v>0</v>
      </c>
    </row>
    <row r="72" spans="1:2" x14ac:dyDescent="0.25">
      <c r="A72" s="3" t="s">
        <v>142</v>
      </c>
      <c r="B72" s="7">
        <f>B71</f>
        <v>0</v>
      </c>
    </row>
    <row r="73" spans="1:2" x14ac:dyDescent="0.25">
      <c r="A73" s="3" t="s">
        <v>141</v>
      </c>
      <c r="B73" s="4"/>
    </row>
    <row r="74" spans="1:2" x14ac:dyDescent="0.25">
      <c r="A74" s="3" t="s">
        <v>140</v>
      </c>
      <c r="B74" s="5">
        <f>788648.79</f>
        <v>788648.79</v>
      </c>
    </row>
    <row r="75" spans="1:2" x14ac:dyDescent="0.25">
      <c r="A75" s="3" t="s">
        <v>139</v>
      </c>
      <c r="B75" s="5">
        <f>586254.83</f>
        <v>586254.82999999996</v>
      </c>
    </row>
    <row r="76" spans="1:2" x14ac:dyDescent="0.25">
      <c r="A76" s="3" t="s">
        <v>138</v>
      </c>
      <c r="B76" s="5">
        <f>23466.99</f>
        <v>23466.99</v>
      </c>
    </row>
    <row r="77" spans="1:2" x14ac:dyDescent="0.25">
      <c r="A77" s="3" t="s">
        <v>137</v>
      </c>
      <c r="B77" s="5">
        <f>156261.69</f>
        <v>156261.69</v>
      </c>
    </row>
    <row r="78" spans="1:2" x14ac:dyDescent="0.25">
      <c r="A78" s="3" t="s">
        <v>136</v>
      </c>
      <c r="B78" s="5">
        <f>213304.26</f>
        <v>213304.26</v>
      </c>
    </row>
    <row r="79" spans="1:2" x14ac:dyDescent="0.25">
      <c r="A79" s="3" t="s">
        <v>135</v>
      </c>
      <c r="B79" s="7">
        <f>((((B74)+(B75))+(B76))+(B77))+(B78)</f>
        <v>1767936.56</v>
      </c>
    </row>
    <row r="80" spans="1:2" x14ac:dyDescent="0.25">
      <c r="A80" s="3" t="s">
        <v>134</v>
      </c>
      <c r="B80" s="7">
        <f>(B72)+(B79)</f>
        <v>1767936.56</v>
      </c>
    </row>
    <row r="81" spans="1:2" x14ac:dyDescent="0.25">
      <c r="A81" s="3"/>
      <c r="B81" s="4"/>
    </row>
    <row r="84" spans="1:2" x14ac:dyDescent="0.25">
      <c r="A84" s="13" t="s">
        <v>133</v>
      </c>
      <c r="B84" s="14"/>
    </row>
  </sheetData>
  <mergeCells count="4">
    <mergeCell ref="A84:B84"/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DD135-A3BA-4DCD-B02E-7382BB6A6E53}">
  <dimension ref="A1:E130"/>
  <sheetViews>
    <sheetView tabSelected="1" topLeftCell="A112" workbookViewId="0">
      <selection activeCell="F1" sqref="F1:I1048576"/>
    </sheetView>
  </sheetViews>
  <sheetFormatPr defaultRowHeight="15" x14ac:dyDescent="0.25"/>
  <cols>
    <col min="1" max="1" width="52.42578125" style="8" customWidth="1"/>
    <col min="2" max="3" width="11.140625" style="8" customWidth="1"/>
    <col min="4" max="4" width="12" style="8" customWidth="1"/>
    <col min="5" max="5" width="11.140625" style="8" customWidth="1"/>
    <col min="6" max="16384" width="9.140625" style="8"/>
  </cols>
  <sheetData>
    <row r="1" spans="1:5" ht="18" x14ac:dyDescent="0.25">
      <c r="A1" s="15" t="s">
        <v>60</v>
      </c>
      <c r="B1" s="14"/>
      <c r="C1" s="14"/>
      <c r="D1" s="14"/>
      <c r="E1" s="14"/>
    </row>
    <row r="2" spans="1:5" ht="18" x14ac:dyDescent="0.25">
      <c r="A2" s="15" t="s">
        <v>132</v>
      </c>
      <c r="B2" s="14"/>
      <c r="C2" s="14"/>
      <c r="D2" s="14"/>
      <c r="E2" s="14"/>
    </row>
    <row r="3" spans="1:5" x14ac:dyDescent="0.25">
      <c r="A3" s="16" t="s">
        <v>88</v>
      </c>
      <c r="B3" s="14"/>
      <c r="C3" s="14"/>
      <c r="D3" s="14"/>
      <c r="E3" s="14"/>
    </row>
    <row r="5" spans="1:5" x14ac:dyDescent="0.25">
      <c r="A5" s="11"/>
      <c r="B5" s="17" t="s">
        <v>0</v>
      </c>
      <c r="C5" s="18"/>
      <c r="D5" s="18"/>
      <c r="E5" s="18"/>
    </row>
    <row r="6" spans="1:5" x14ac:dyDescent="0.25">
      <c r="A6" s="11"/>
      <c r="B6" s="12" t="s">
        <v>131</v>
      </c>
      <c r="C6" s="12" t="s">
        <v>130</v>
      </c>
      <c r="D6" s="12" t="s">
        <v>129</v>
      </c>
      <c r="E6" s="12" t="s">
        <v>128</v>
      </c>
    </row>
    <row r="7" spans="1:5" x14ac:dyDescent="0.25">
      <c r="A7" s="3" t="s">
        <v>2</v>
      </c>
      <c r="B7" s="4"/>
      <c r="C7" s="4"/>
      <c r="D7" s="4"/>
      <c r="E7" s="4"/>
    </row>
    <row r="8" spans="1:5" x14ac:dyDescent="0.25">
      <c r="A8" s="3" t="s">
        <v>3</v>
      </c>
      <c r="B8" s="4"/>
      <c r="C8" s="4"/>
      <c r="D8" s="5">
        <f>(B8)-(C8)</f>
        <v>0</v>
      </c>
      <c r="E8" s="10" t="str">
        <f>IF(C8=0,"",(B8)/(C8))</f>
        <v/>
      </c>
    </row>
    <row r="9" spans="1:5" x14ac:dyDescent="0.25">
      <c r="A9" s="3" t="s">
        <v>87</v>
      </c>
      <c r="B9" s="5">
        <f>202263.44</f>
        <v>202263.44</v>
      </c>
      <c r="C9" s="5">
        <f>380000</f>
        <v>380000</v>
      </c>
      <c r="D9" s="5">
        <f>(B9)-(C9)</f>
        <v>-177736.56</v>
      </c>
      <c r="E9" s="10">
        <f>IF(C9=0,"",(B9)/(C9))</f>
        <v>0.53227221052631579</v>
      </c>
    </row>
    <row r="10" spans="1:5" x14ac:dyDescent="0.25">
      <c r="A10" s="3" t="s">
        <v>4</v>
      </c>
      <c r="B10" s="5">
        <f>7065</f>
        <v>7065</v>
      </c>
      <c r="C10" s="5">
        <f>22000</f>
        <v>22000</v>
      </c>
      <c r="D10" s="5">
        <f>(B10)-(C10)</f>
        <v>-14935</v>
      </c>
      <c r="E10" s="10">
        <f>IF(C10=0,"",(B10)/(C10))</f>
        <v>0.32113636363636361</v>
      </c>
    </row>
    <row r="11" spans="1:5" x14ac:dyDescent="0.25">
      <c r="A11" s="3" t="s">
        <v>127</v>
      </c>
      <c r="B11" s="4"/>
      <c r="C11" s="5">
        <f>120000</f>
        <v>120000</v>
      </c>
      <c r="D11" s="5">
        <f>(B11)-(C11)</f>
        <v>-120000</v>
      </c>
      <c r="E11" s="10">
        <f>IF(C11=0,"",(B11)/(C11))</f>
        <v>0</v>
      </c>
    </row>
    <row r="12" spans="1:5" x14ac:dyDescent="0.25">
      <c r="A12" s="3" t="s">
        <v>86</v>
      </c>
      <c r="B12" s="5">
        <f>272109.41</f>
        <v>272109.40999999997</v>
      </c>
      <c r="C12" s="5">
        <f>120000</f>
        <v>120000</v>
      </c>
      <c r="D12" s="5">
        <f>(B12)-(C12)</f>
        <v>152109.40999999997</v>
      </c>
      <c r="E12" s="10">
        <f>IF(C12=0,"",(B12)/(C12))</f>
        <v>2.2675784166666664</v>
      </c>
    </row>
    <row r="13" spans="1:5" x14ac:dyDescent="0.25">
      <c r="A13" s="3" t="s">
        <v>126</v>
      </c>
      <c r="B13" s="4"/>
      <c r="C13" s="5">
        <f>10000</f>
        <v>10000</v>
      </c>
      <c r="D13" s="5">
        <f>(B13)-(C13)</f>
        <v>-10000</v>
      </c>
      <c r="E13" s="10">
        <f>IF(C13=0,"",(B13)/(C13))</f>
        <v>0</v>
      </c>
    </row>
    <row r="14" spans="1:5" x14ac:dyDescent="0.25">
      <c r="A14" s="3" t="s">
        <v>125</v>
      </c>
      <c r="B14" s="4"/>
      <c r="C14" s="5">
        <f>28100</f>
        <v>28100</v>
      </c>
      <c r="D14" s="5">
        <f>(B14)-(C14)</f>
        <v>-28100</v>
      </c>
      <c r="E14" s="10">
        <f>IF(C14=0,"",(B14)/(C14))</f>
        <v>0</v>
      </c>
    </row>
    <row r="15" spans="1:5" x14ac:dyDescent="0.25">
      <c r="A15" s="3" t="s">
        <v>5</v>
      </c>
      <c r="B15" s="7">
        <f>((((((B8)+(B9))+(B10))+(B11))+(B12))+(B13))+(B14)</f>
        <v>481437.85</v>
      </c>
      <c r="C15" s="7">
        <f>((((((C8)+(C9))+(C10))+(C11))+(C12))+(C13))+(C14)</f>
        <v>680100</v>
      </c>
      <c r="D15" s="7">
        <f>(B15)-(C15)</f>
        <v>-198662.15000000002</v>
      </c>
      <c r="E15" s="9">
        <f>IF(C15=0,"",(B15)/(C15))</f>
        <v>0.70789273636229966</v>
      </c>
    </row>
    <row r="16" spans="1:5" x14ac:dyDescent="0.25">
      <c r="A16" s="3" t="s">
        <v>124</v>
      </c>
      <c r="B16" s="4"/>
      <c r="C16" s="4"/>
      <c r="D16" s="5">
        <f>(B16)-(C16)</f>
        <v>0</v>
      </c>
      <c r="E16" s="10" t="str">
        <f>IF(C16=0,"",(B16)/(C16))</f>
        <v/>
      </c>
    </row>
    <row r="17" spans="1:5" x14ac:dyDescent="0.25">
      <c r="A17" s="3" t="s">
        <v>123</v>
      </c>
      <c r="B17" s="4"/>
      <c r="C17" s="5">
        <f>500</f>
        <v>500</v>
      </c>
      <c r="D17" s="5">
        <f>(B17)-(C17)</f>
        <v>-500</v>
      </c>
      <c r="E17" s="10">
        <f>IF(C17=0,"",(B17)/(C17))</f>
        <v>0</v>
      </c>
    </row>
    <row r="18" spans="1:5" x14ac:dyDescent="0.25">
      <c r="A18" s="3" t="s">
        <v>122</v>
      </c>
      <c r="B18" s="7">
        <f>(B16)+(B17)</f>
        <v>0</v>
      </c>
      <c r="C18" s="7">
        <f>(C16)+(C17)</f>
        <v>500</v>
      </c>
      <c r="D18" s="7">
        <f>(B18)-(C18)</f>
        <v>-500</v>
      </c>
      <c r="E18" s="9">
        <f>IF(C18=0,"",(B18)/(C18))</f>
        <v>0</v>
      </c>
    </row>
    <row r="19" spans="1:5" x14ac:dyDescent="0.25">
      <c r="A19" s="3" t="s">
        <v>6</v>
      </c>
      <c r="B19" s="4"/>
      <c r="C19" s="4"/>
      <c r="D19" s="5">
        <f>(B19)-(C19)</f>
        <v>0</v>
      </c>
      <c r="E19" s="10" t="str">
        <f>IF(C19=0,"",(B19)/(C19))</f>
        <v/>
      </c>
    </row>
    <row r="20" spans="1:5" x14ac:dyDescent="0.25">
      <c r="A20" s="3" t="s">
        <v>85</v>
      </c>
      <c r="B20" s="5">
        <f>45</f>
        <v>45</v>
      </c>
      <c r="C20" s="5">
        <f>240</f>
        <v>240</v>
      </c>
      <c r="D20" s="5">
        <f>(B20)-(C20)</f>
        <v>-195</v>
      </c>
      <c r="E20" s="10">
        <f>IF(C20=0,"",(B20)/(C20))</f>
        <v>0.1875</v>
      </c>
    </row>
    <row r="21" spans="1:5" x14ac:dyDescent="0.25">
      <c r="A21" s="3" t="s">
        <v>7</v>
      </c>
      <c r="B21" s="5">
        <f>1795</f>
        <v>1795</v>
      </c>
      <c r="C21" s="5">
        <f>6000</f>
        <v>6000</v>
      </c>
      <c r="D21" s="5">
        <f>(B21)-(C21)</f>
        <v>-4205</v>
      </c>
      <c r="E21" s="10">
        <f>IF(C21=0,"",(B21)/(C21))</f>
        <v>0.29916666666666669</v>
      </c>
    </row>
    <row r="22" spans="1:5" x14ac:dyDescent="0.25">
      <c r="A22" s="3" t="s">
        <v>8</v>
      </c>
      <c r="B22" s="4"/>
      <c r="C22" s="4"/>
      <c r="D22" s="5">
        <f>(B22)-(C22)</f>
        <v>0</v>
      </c>
      <c r="E22" s="10" t="str">
        <f>IF(C22=0,"",(B22)/(C22))</f>
        <v/>
      </c>
    </row>
    <row r="23" spans="1:5" x14ac:dyDescent="0.25">
      <c r="A23" s="3" t="s">
        <v>9</v>
      </c>
      <c r="B23" s="5">
        <f>15</f>
        <v>15</v>
      </c>
      <c r="C23" s="4"/>
      <c r="D23" s="5">
        <f>(B23)-(C23)</f>
        <v>15</v>
      </c>
      <c r="E23" s="10" t="str">
        <f>IF(C23=0,"",(B23)/(C23))</f>
        <v/>
      </c>
    </row>
    <row r="24" spans="1:5" x14ac:dyDescent="0.25">
      <c r="A24" s="3" t="s">
        <v>10</v>
      </c>
      <c r="B24" s="7">
        <f>(B22)+(B23)</f>
        <v>15</v>
      </c>
      <c r="C24" s="7">
        <f>(C22)+(C23)</f>
        <v>0</v>
      </c>
      <c r="D24" s="7">
        <f>(B24)-(C24)</f>
        <v>15</v>
      </c>
      <c r="E24" s="9" t="str">
        <f>IF(C24=0,"",(B24)/(C24))</f>
        <v/>
      </c>
    </row>
    <row r="25" spans="1:5" x14ac:dyDescent="0.25">
      <c r="A25" s="3" t="s">
        <v>11</v>
      </c>
      <c r="B25" s="7">
        <f>(((B19)+(B20))+(B21))+(B24)</f>
        <v>1855</v>
      </c>
      <c r="C25" s="7">
        <f>(((C19)+(C20))+(C21))+(C24)</f>
        <v>6240</v>
      </c>
      <c r="D25" s="7">
        <f>(B25)-(C25)</f>
        <v>-4385</v>
      </c>
      <c r="E25" s="9">
        <f>IF(C25=0,"",(B25)/(C25))</f>
        <v>0.29727564102564102</v>
      </c>
    </row>
    <row r="26" spans="1:5" x14ac:dyDescent="0.25">
      <c r="A26" s="3" t="s">
        <v>12</v>
      </c>
      <c r="B26" s="4"/>
      <c r="C26" s="4"/>
      <c r="D26" s="5">
        <f>(B26)-(C26)</f>
        <v>0</v>
      </c>
      <c r="E26" s="10" t="str">
        <f>IF(C26=0,"",(B26)/(C26))</f>
        <v/>
      </c>
    </row>
    <row r="27" spans="1:5" x14ac:dyDescent="0.25">
      <c r="A27" s="3" t="s">
        <v>84</v>
      </c>
      <c r="B27" s="5">
        <f>1000</f>
        <v>1000</v>
      </c>
      <c r="C27" s="5">
        <f>5000</f>
        <v>5000</v>
      </c>
      <c r="D27" s="5">
        <f>(B27)-(C27)</f>
        <v>-4000</v>
      </c>
      <c r="E27" s="10">
        <f>IF(C27=0,"",(B27)/(C27))</f>
        <v>0.2</v>
      </c>
    </row>
    <row r="28" spans="1:5" x14ac:dyDescent="0.25">
      <c r="A28" s="3" t="s">
        <v>13</v>
      </c>
      <c r="B28" s="5">
        <f>20655</f>
        <v>20655</v>
      </c>
      <c r="C28" s="5">
        <f>58000</f>
        <v>58000</v>
      </c>
      <c r="D28" s="5">
        <f>(B28)-(C28)</f>
        <v>-37345</v>
      </c>
      <c r="E28" s="10">
        <f>IF(C28=0,"",(B28)/(C28))</f>
        <v>0.35612068965517241</v>
      </c>
    </row>
    <row r="29" spans="1:5" x14ac:dyDescent="0.25">
      <c r="A29" s="3" t="s">
        <v>14</v>
      </c>
      <c r="B29" s="7">
        <f>((B26)+(B27))+(B28)</f>
        <v>21655</v>
      </c>
      <c r="C29" s="7">
        <f>((C26)+(C27))+(C28)</f>
        <v>63000</v>
      </c>
      <c r="D29" s="7">
        <f>(B29)-(C29)</f>
        <v>-41345</v>
      </c>
      <c r="E29" s="9">
        <f>IF(C29=0,"",(B29)/(C29))</f>
        <v>0.34373015873015872</v>
      </c>
    </row>
    <row r="30" spans="1:5" x14ac:dyDescent="0.25">
      <c r="A30" s="3" t="s">
        <v>83</v>
      </c>
      <c r="B30" s="5">
        <f>23710.01</f>
        <v>23710.01</v>
      </c>
      <c r="C30" s="4"/>
      <c r="D30" s="5">
        <f>(B30)-(C30)</f>
        <v>23710.01</v>
      </c>
      <c r="E30" s="10" t="str">
        <f>IF(C30=0,"",(B30)/(C30))</f>
        <v/>
      </c>
    </row>
    <row r="31" spans="1:5" x14ac:dyDescent="0.25">
      <c r="A31" s="3" t="s">
        <v>121</v>
      </c>
      <c r="B31" s="4"/>
      <c r="C31" s="5">
        <f>2200</f>
        <v>2200</v>
      </c>
      <c r="D31" s="5">
        <f>(B31)-(C31)</f>
        <v>-2200</v>
      </c>
      <c r="E31" s="10">
        <f>IF(C31=0,"",(B31)/(C31))</f>
        <v>0</v>
      </c>
    </row>
    <row r="32" spans="1:5" x14ac:dyDescent="0.25">
      <c r="A32" s="3" t="s">
        <v>15</v>
      </c>
      <c r="B32" s="7">
        <f>(((((B15)+(B18))+(B25))+(B29))+(B30))+(B31)</f>
        <v>528657.86</v>
      </c>
      <c r="C32" s="7">
        <f>(((((C15)+(C18))+(C25))+(C29))+(C30))+(C31)</f>
        <v>752040</v>
      </c>
      <c r="D32" s="7">
        <f>(B32)-(C32)</f>
        <v>-223382.14</v>
      </c>
      <c r="E32" s="9">
        <f>IF(C32=0,"",(B32)/(C32))</f>
        <v>0.70296508164459337</v>
      </c>
    </row>
    <row r="33" spans="1:5" x14ac:dyDescent="0.25">
      <c r="A33" s="3" t="s">
        <v>16</v>
      </c>
      <c r="B33" s="7">
        <f>(B32)-(0)</f>
        <v>528657.86</v>
      </c>
      <c r="C33" s="7">
        <f>(C32)-(0)</f>
        <v>752040</v>
      </c>
      <c r="D33" s="7">
        <f>(B33)-(C33)</f>
        <v>-223382.14</v>
      </c>
      <c r="E33" s="9">
        <f>IF(C33=0,"",(B33)/(C33))</f>
        <v>0.70296508164459337</v>
      </c>
    </row>
    <row r="34" spans="1:5" x14ac:dyDescent="0.25">
      <c r="A34" s="3" t="s">
        <v>17</v>
      </c>
      <c r="B34" s="4"/>
      <c r="C34" s="4"/>
      <c r="D34" s="4"/>
      <c r="E34" s="4"/>
    </row>
    <row r="35" spans="1:5" x14ac:dyDescent="0.25">
      <c r="A35" s="3" t="s">
        <v>18</v>
      </c>
      <c r="B35" s="4"/>
      <c r="C35" s="4"/>
      <c r="D35" s="5">
        <f>(B35)-(C35)</f>
        <v>0</v>
      </c>
      <c r="E35" s="10" t="str">
        <f>IF(C35=0,"",(B35)/(C35))</f>
        <v/>
      </c>
    </row>
    <row r="36" spans="1:5" x14ac:dyDescent="0.25">
      <c r="A36" s="3" t="s">
        <v>19</v>
      </c>
      <c r="B36" s="5">
        <f>27500</f>
        <v>27500</v>
      </c>
      <c r="C36" s="5">
        <f>66000</f>
        <v>66000</v>
      </c>
      <c r="D36" s="5">
        <f>(B36)-(C36)</f>
        <v>-38500</v>
      </c>
      <c r="E36" s="10">
        <f>IF(C36=0,"",(B36)/(C36))</f>
        <v>0.41666666666666669</v>
      </c>
    </row>
    <row r="37" spans="1:5" x14ac:dyDescent="0.25">
      <c r="A37" s="3" t="s">
        <v>120</v>
      </c>
      <c r="B37" s="4"/>
      <c r="C37" s="5">
        <f>650</f>
        <v>650</v>
      </c>
      <c r="D37" s="5">
        <f>(B37)-(C37)</f>
        <v>-650</v>
      </c>
      <c r="E37" s="10">
        <f>IF(C37=0,"",(B37)/(C37))</f>
        <v>0</v>
      </c>
    </row>
    <row r="38" spans="1:5" x14ac:dyDescent="0.25">
      <c r="A38" s="3" t="s">
        <v>119</v>
      </c>
      <c r="B38" s="4"/>
      <c r="C38" s="5">
        <f>20000</f>
        <v>20000</v>
      </c>
      <c r="D38" s="5">
        <f>(B38)-(C38)</f>
        <v>-20000</v>
      </c>
      <c r="E38" s="10">
        <f>IF(C38=0,"",(B38)/(C38))</f>
        <v>0</v>
      </c>
    </row>
    <row r="39" spans="1:5" x14ac:dyDescent="0.25">
      <c r="A39" s="3" t="s">
        <v>20</v>
      </c>
      <c r="B39" s="5">
        <f>-677.57</f>
        <v>-677.57</v>
      </c>
      <c r="C39" s="5">
        <f>1000</f>
        <v>1000</v>
      </c>
      <c r="D39" s="5">
        <f>(B39)-(C39)</f>
        <v>-1677.5700000000002</v>
      </c>
      <c r="E39" s="10">
        <f>IF(C39=0,"",(B39)/(C39))</f>
        <v>-0.67757000000000001</v>
      </c>
    </row>
    <row r="40" spans="1:5" x14ac:dyDescent="0.25">
      <c r="A40" s="3" t="s">
        <v>82</v>
      </c>
      <c r="B40" s="5">
        <f>14712.95</f>
        <v>14712.95</v>
      </c>
      <c r="C40" s="5">
        <f>18000</f>
        <v>18000</v>
      </c>
      <c r="D40" s="5">
        <f>(B40)-(C40)</f>
        <v>-3287.0499999999993</v>
      </c>
      <c r="E40" s="10">
        <f>IF(C40=0,"",(B40)/(C40))</f>
        <v>0.81738611111111115</v>
      </c>
    </row>
    <row r="41" spans="1:5" x14ac:dyDescent="0.25">
      <c r="A41" s="3" t="s">
        <v>81</v>
      </c>
      <c r="B41" s="5">
        <f>3000</f>
        <v>3000</v>
      </c>
      <c r="C41" s="5">
        <f>3000</f>
        <v>3000</v>
      </c>
      <c r="D41" s="5">
        <f>(B41)-(C41)</f>
        <v>0</v>
      </c>
      <c r="E41" s="10">
        <f>IF(C41=0,"",(B41)/(C41))</f>
        <v>1</v>
      </c>
    </row>
    <row r="42" spans="1:5" x14ac:dyDescent="0.25">
      <c r="A42" s="3" t="s">
        <v>21</v>
      </c>
      <c r="B42" s="5">
        <f>500</f>
        <v>500</v>
      </c>
      <c r="C42" s="5">
        <f>1300</f>
        <v>1300</v>
      </c>
      <c r="D42" s="5">
        <f>(B42)-(C42)</f>
        <v>-800</v>
      </c>
      <c r="E42" s="10">
        <f>IF(C42=0,"",(B42)/(C42))</f>
        <v>0.38461538461538464</v>
      </c>
    </row>
    <row r="43" spans="1:5" x14ac:dyDescent="0.25">
      <c r="A43" s="3" t="s">
        <v>22</v>
      </c>
      <c r="B43" s="5">
        <f>407.78</f>
        <v>407.78</v>
      </c>
      <c r="C43" s="5">
        <f>1600</f>
        <v>1600</v>
      </c>
      <c r="D43" s="5">
        <f>(B43)-(C43)</f>
        <v>-1192.22</v>
      </c>
      <c r="E43" s="10">
        <f>IF(C43=0,"",(B43)/(C43))</f>
        <v>0.25486249999999999</v>
      </c>
    </row>
    <row r="44" spans="1:5" x14ac:dyDescent="0.25">
      <c r="A44" s="3" t="s">
        <v>23</v>
      </c>
      <c r="B44" s="5">
        <f>352.29</f>
        <v>352.29</v>
      </c>
      <c r="C44" s="5">
        <f>700</f>
        <v>700</v>
      </c>
      <c r="D44" s="5">
        <f>(B44)-(C44)</f>
        <v>-347.71</v>
      </c>
      <c r="E44" s="10">
        <f>IF(C44=0,"",(B44)/(C44))</f>
        <v>0.50327142857142859</v>
      </c>
    </row>
    <row r="45" spans="1:5" x14ac:dyDescent="0.25">
      <c r="A45" s="3" t="s">
        <v>80</v>
      </c>
      <c r="B45" s="5">
        <f>20</f>
        <v>20</v>
      </c>
      <c r="C45" s="5">
        <f>20</f>
        <v>20</v>
      </c>
      <c r="D45" s="5">
        <f>(B45)-(C45)</f>
        <v>0</v>
      </c>
      <c r="E45" s="10">
        <f>IF(C45=0,"",(B45)/(C45))</f>
        <v>1</v>
      </c>
    </row>
    <row r="46" spans="1:5" x14ac:dyDescent="0.25">
      <c r="A46" s="3" t="s">
        <v>24</v>
      </c>
      <c r="B46" s="5">
        <f>875</f>
        <v>875</v>
      </c>
      <c r="C46" s="5">
        <f>2100</f>
        <v>2100</v>
      </c>
      <c r="D46" s="5">
        <f>(B46)-(C46)</f>
        <v>-1225</v>
      </c>
      <c r="E46" s="10">
        <f>IF(C46=0,"",(B46)/(C46))</f>
        <v>0.41666666666666669</v>
      </c>
    </row>
    <row r="47" spans="1:5" x14ac:dyDescent="0.25">
      <c r="A47" s="3" t="s">
        <v>25</v>
      </c>
      <c r="B47" s="5">
        <f>1378.99</f>
        <v>1378.99</v>
      </c>
      <c r="C47" s="5">
        <f>4000</f>
        <v>4000</v>
      </c>
      <c r="D47" s="5">
        <f>(B47)-(C47)</f>
        <v>-2621.0100000000002</v>
      </c>
      <c r="E47" s="10">
        <f>IF(C47=0,"",(B47)/(C47))</f>
        <v>0.34474749999999998</v>
      </c>
    </row>
    <row r="48" spans="1:5" x14ac:dyDescent="0.25">
      <c r="A48" s="3" t="s">
        <v>26</v>
      </c>
      <c r="B48" s="5">
        <f>12375</f>
        <v>12375</v>
      </c>
      <c r="C48" s="5">
        <f>27000</f>
        <v>27000</v>
      </c>
      <c r="D48" s="5">
        <f>(B48)-(C48)</f>
        <v>-14625</v>
      </c>
      <c r="E48" s="10">
        <f>IF(C48=0,"",(B48)/(C48))</f>
        <v>0.45833333333333331</v>
      </c>
    </row>
    <row r="49" spans="1:5" x14ac:dyDescent="0.25">
      <c r="A49" s="3" t="s">
        <v>27</v>
      </c>
      <c r="B49" s="5">
        <f>15208.3</f>
        <v>15208.3</v>
      </c>
      <c r="C49" s="5">
        <f>36500</f>
        <v>36500</v>
      </c>
      <c r="D49" s="5">
        <f>(B49)-(C49)</f>
        <v>-21291.7</v>
      </c>
      <c r="E49" s="10">
        <f>IF(C49=0,"",(B49)/(C49))</f>
        <v>0.4166657534246575</v>
      </c>
    </row>
    <row r="50" spans="1:5" x14ac:dyDescent="0.25">
      <c r="A50" s="3" t="s">
        <v>28</v>
      </c>
      <c r="B50" s="5">
        <f>5</f>
        <v>5</v>
      </c>
      <c r="C50" s="5">
        <f>115</f>
        <v>115</v>
      </c>
      <c r="D50" s="5">
        <f>(B50)-(C50)</f>
        <v>-110</v>
      </c>
      <c r="E50" s="10">
        <f>IF(C50=0,"",(B50)/(C50))</f>
        <v>4.3478260869565216E-2</v>
      </c>
    </row>
    <row r="51" spans="1:5" x14ac:dyDescent="0.25">
      <c r="A51" s="3" t="s">
        <v>29</v>
      </c>
      <c r="B51" s="7">
        <f>(((((((((((((((B35)+(B36))+(B37))+(B38))+(B39))+(B40))+(B41))+(B42))+(B43))+(B44))+(B45))+(B46))+(B47))+(B48))+(B49))+(B50)</f>
        <v>75657.740000000005</v>
      </c>
      <c r="C51" s="7">
        <f>(((((((((((((((C35)+(C36))+(C37))+(C38))+(C39))+(C40))+(C41))+(C42))+(C43))+(C44))+(C45))+(C46))+(C47))+(C48))+(C49))+(C50)</f>
        <v>181985</v>
      </c>
      <c r="D51" s="7">
        <f>(B51)-(C51)</f>
        <v>-106327.26</v>
      </c>
      <c r="E51" s="9">
        <f>IF(C51=0,"",(B51)/(C51))</f>
        <v>0.41573613209879939</v>
      </c>
    </row>
    <row r="52" spans="1:5" x14ac:dyDescent="0.25">
      <c r="A52" s="3" t="s">
        <v>30</v>
      </c>
      <c r="B52" s="4"/>
      <c r="C52" s="4"/>
      <c r="D52" s="5">
        <f>(B52)-(C52)</f>
        <v>0</v>
      </c>
      <c r="E52" s="10" t="str">
        <f>IF(C52=0,"",(B52)/(C52))</f>
        <v/>
      </c>
    </row>
    <row r="53" spans="1:5" x14ac:dyDescent="0.25">
      <c r="A53" s="3" t="s">
        <v>31</v>
      </c>
      <c r="B53" s="5">
        <f>4829.24</f>
        <v>4829.24</v>
      </c>
      <c r="C53" s="5">
        <f>5850</f>
        <v>5850</v>
      </c>
      <c r="D53" s="5">
        <f>(B53)-(C53)</f>
        <v>-1020.7600000000002</v>
      </c>
      <c r="E53" s="10">
        <f>IF(C53=0,"",(B53)/(C53))</f>
        <v>0.82551111111111108</v>
      </c>
    </row>
    <row r="54" spans="1:5" x14ac:dyDescent="0.25">
      <c r="A54" s="3" t="s">
        <v>118</v>
      </c>
      <c r="B54" s="4"/>
      <c r="C54" s="5">
        <f>10000</f>
        <v>10000</v>
      </c>
      <c r="D54" s="5">
        <f>(B54)-(C54)</f>
        <v>-10000</v>
      </c>
      <c r="E54" s="10">
        <f>IF(C54=0,"",(B54)/(C54))</f>
        <v>0</v>
      </c>
    </row>
    <row r="55" spans="1:5" x14ac:dyDescent="0.25">
      <c r="A55" s="3" t="s">
        <v>117</v>
      </c>
      <c r="B55" s="4"/>
      <c r="C55" s="5">
        <f>1000</f>
        <v>1000</v>
      </c>
      <c r="D55" s="5">
        <f>(B55)-(C55)</f>
        <v>-1000</v>
      </c>
      <c r="E55" s="10">
        <f>IF(C55=0,"",(B55)/(C55))</f>
        <v>0</v>
      </c>
    </row>
    <row r="56" spans="1:5" x14ac:dyDescent="0.25">
      <c r="A56" s="3" t="s">
        <v>116</v>
      </c>
      <c r="B56" s="4"/>
      <c r="C56" s="5">
        <f>250</f>
        <v>250</v>
      </c>
      <c r="D56" s="5">
        <f>(B56)-(C56)</f>
        <v>-250</v>
      </c>
      <c r="E56" s="10">
        <f>IF(C56=0,"",(B56)/(C56))</f>
        <v>0</v>
      </c>
    </row>
    <row r="57" spans="1:5" x14ac:dyDescent="0.25">
      <c r="A57" s="3" t="s">
        <v>32</v>
      </c>
      <c r="B57" s="7">
        <f>((((B52)+(B53))+(B54))+(B55))+(B56)</f>
        <v>4829.24</v>
      </c>
      <c r="C57" s="7">
        <f>((((C52)+(C53))+(C54))+(C55))+(C56)</f>
        <v>17100</v>
      </c>
      <c r="D57" s="7">
        <f>(B57)-(C57)</f>
        <v>-12270.76</v>
      </c>
      <c r="E57" s="9">
        <f>IF(C57=0,"",(B57)/(C57))</f>
        <v>0.28241169590643272</v>
      </c>
    </row>
    <row r="58" spans="1:5" x14ac:dyDescent="0.25">
      <c r="A58" s="3" t="s">
        <v>33</v>
      </c>
      <c r="B58" s="4"/>
      <c r="C58" s="4"/>
      <c r="D58" s="5">
        <f>(B58)-(C58)</f>
        <v>0</v>
      </c>
      <c r="E58" s="10" t="str">
        <f>IF(C58=0,"",(B58)/(C58))</f>
        <v/>
      </c>
    </row>
    <row r="59" spans="1:5" x14ac:dyDescent="0.25">
      <c r="A59" s="3" t="s">
        <v>34</v>
      </c>
      <c r="B59" s="5">
        <f>40000</f>
        <v>40000</v>
      </c>
      <c r="C59" s="5">
        <f>96000</f>
        <v>96000</v>
      </c>
      <c r="D59" s="5">
        <f>(B59)-(C59)</f>
        <v>-56000</v>
      </c>
      <c r="E59" s="10">
        <f>IF(C59=0,"",(B59)/(C59))</f>
        <v>0.41666666666666669</v>
      </c>
    </row>
    <row r="60" spans="1:5" x14ac:dyDescent="0.25">
      <c r="A60" s="3" t="s">
        <v>35</v>
      </c>
      <c r="B60" s="5">
        <f>307.06</f>
        <v>307.06</v>
      </c>
      <c r="C60" s="5">
        <f>1000</f>
        <v>1000</v>
      </c>
      <c r="D60" s="5">
        <f>(B60)-(C60)</f>
        <v>-692.94</v>
      </c>
      <c r="E60" s="10">
        <f>IF(C60=0,"",(B60)/(C60))</f>
        <v>0.30706</v>
      </c>
    </row>
    <row r="61" spans="1:5" x14ac:dyDescent="0.25">
      <c r="A61" s="3" t="s">
        <v>79</v>
      </c>
      <c r="B61" s="5">
        <f>571.61</f>
        <v>571.61</v>
      </c>
      <c r="C61" s="5">
        <f>1000</f>
        <v>1000</v>
      </c>
      <c r="D61" s="5">
        <f>(B61)-(C61)</f>
        <v>-428.39</v>
      </c>
      <c r="E61" s="10">
        <f>IF(C61=0,"",(B61)/(C61))</f>
        <v>0.57161000000000006</v>
      </c>
    </row>
    <row r="62" spans="1:5" x14ac:dyDescent="0.25">
      <c r="A62" s="3" t="s">
        <v>115</v>
      </c>
      <c r="B62" s="4"/>
      <c r="C62" s="5">
        <f>150</f>
        <v>150</v>
      </c>
      <c r="D62" s="5">
        <f>(B62)-(C62)</f>
        <v>-150</v>
      </c>
      <c r="E62" s="10">
        <f>IF(C62=0,"",(B62)/(C62))</f>
        <v>0</v>
      </c>
    </row>
    <row r="63" spans="1:5" x14ac:dyDescent="0.25">
      <c r="A63" s="3" t="s">
        <v>36</v>
      </c>
      <c r="B63" s="7">
        <f>((((B58)+(B59))+(B60))+(B61))+(B62)</f>
        <v>40878.67</v>
      </c>
      <c r="C63" s="7">
        <f>((((C58)+(C59))+(C60))+(C61))+(C62)</f>
        <v>98150</v>
      </c>
      <c r="D63" s="7">
        <f>(B63)-(C63)</f>
        <v>-57271.33</v>
      </c>
      <c r="E63" s="9">
        <f>IF(C63=0,"",(B63)/(C63))</f>
        <v>0.41649179826795718</v>
      </c>
    </row>
    <row r="64" spans="1:5" x14ac:dyDescent="0.25">
      <c r="A64" s="3" t="s">
        <v>37</v>
      </c>
      <c r="B64" s="4"/>
      <c r="C64" s="4"/>
      <c r="D64" s="5">
        <f>(B64)-(C64)</f>
        <v>0</v>
      </c>
      <c r="E64" s="10" t="str">
        <f>IF(C64=0,"",(B64)/(C64))</f>
        <v/>
      </c>
    </row>
    <row r="65" spans="1:5" x14ac:dyDescent="0.25">
      <c r="A65" s="3" t="s">
        <v>114</v>
      </c>
      <c r="B65" s="4"/>
      <c r="C65" s="5">
        <f>1500</f>
        <v>1500</v>
      </c>
      <c r="D65" s="5">
        <f>(B65)-(C65)</f>
        <v>-1500</v>
      </c>
      <c r="E65" s="10">
        <f>IF(C65=0,"",(B65)/(C65))</f>
        <v>0</v>
      </c>
    </row>
    <row r="66" spans="1:5" x14ac:dyDescent="0.25">
      <c r="A66" s="3" t="s">
        <v>78</v>
      </c>
      <c r="B66" s="5">
        <f>59.95</f>
        <v>59.95</v>
      </c>
      <c r="C66" s="5">
        <f>2250</f>
        <v>2250</v>
      </c>
      <c r="D66" s="5">
        <f>(B66)-(C66)</f>
        <v>-2190.0500000000002</v>
      </c>
      <c r="E66" s="10">
        <f>IF(C66=0,"",(B66)/(C66))</f>
        <v>2.6644444444444446E-2</v>
      </c>
    </row>
    <row r="67" spans="1:5" x14ac:dyDescent="0.25">
      <c r="A67" s="3" t="s">
        <v>38</v>
      </c>
      <c r="B67" s="5">
        <f>936.98</f>
        <v>936.98</v>
      </c>
      <c r="C67" s="5">
        <f>5000</f>
        <v>5000</v>
      </c>
      <c r="D67" s="5">
        <f>(B67)-(C67)</f>
        <v>-4063.02</v>
      </c>
      <c r="E67" s="10">
        <f>IF(C67=0,"",(B67)/(C67))</f>
        <v>0.18739600000000001</v>
      </c>
    </row>
    <row r="68" spans="1:5" x14ac:dyDescent="0.25">
      <c r="A68" s="3" t="s">
        <v>113</v>
      </c>
      <c r="B68" s="4"/>
      <c r="C68" s="5">
        <f>200</f>
        <v>200</v>
      </c>
      <c r="D68" s="5">
        <f>(B68)-(C68)</f>
        <v>-200</v>
      </c>
      <c r="E68" s="10">
        <f>IF(C68=0,"",(B68)/(C68))</f>
        <v>0</v>
      </c>
    </row>
    <row r="69" spans="1:5" x14ac:dyDescent="0.25">
      <c r="A69" s="3" t="s">
        <v>112</v>
      </c>
      <c r="B69" s="4"/>
      <c r="C69" s="5">
        <f>25000</f>
        <v>25000</v>
      </c>
      <c r="D69" s="5">
        <f>(B69)-(C69)</f>
        <v>-25000</v>
      </c>
      <c r="E69" s="10">
        <f>IF(C69=0,"",(B69)/(C69))</f>
        <v>0</v>
      </c>
    </row>
    <row r="70" spans="1:5" x14ac:dyDescent="0.25">
      <c r="A70" s="3" t="s">
        <v>39</v>
      </c>
      <c r="B70" s="7">
        <f>(((((B64)+(B65))+(B66))+(B67))+(B68))+(B69)</f>
        <v>996.93000000000006</v>
      </c>
      <c r="C70" s="7">
        <f>(((((C64)+(C65))+(C66))+(C67))+(C68))+(C69)</f>
        <v>33950</v>
      </c>
      <c r="D70" s="7">
        <f>(B70)-(C70)</f>
        <v>-32953.07</v>
      </c>
      <c r="E70" s="9">
        <f>IF(C70=0,"",(B70)/(C70))</f>
        <v>2.9364653902798233E-2</v>
      </c>
    </row>
    <row r="71" spans="1:5" x14ac:dyDescent="0.25">
      <c r="A71" s="3" t="s">
        <v>40</v>
      </c>
      <c r="B71" s="4"/>
      <c r="C71" s="4"/>
      <c r="D71" s="5">
        <f>(B71)-(C71)</f>
        <v>0</v>
      </c>
      <c r="E71" s="10" t="str">
        <f>IF(C71=0,"",(B71)/(C71))</f>
        <v/>
      </c>
    </row>
    <row r="72" spans="1:5" x14ac:dyDescent="0.25">
      <c r="A72" s="3" t="s">
        <v>111</v>
      </c>
      <c r="B72" s="4"/>
      <c r="C72" s="5">
        <f>250</f>
        <v>250</v>
      </c>
      <c r="D72" s="5">
        <f>(B72)-(C72)</f>
        <v>-250</v>
      </c>
      <c r="E72" s="10">
        <f>IF(C72=0,"",(B72)/(C72))</f>
        <v>0</v>
      </c>
    </row>
    <row r="73" spans="1:5" x14ac:dyDescent="0.25">
      <c r="A73" s="3" t="s">
        <v>41</v>
      </c>
      <c r="B73" s="5">
        <f>4166.61</f>
        <v>4166.6099999999997</v>
      </c>
      <c r="C73" s="5">
        <f>10000</f>
        <v>10000</v>
      </c>
      <c r="D73" s="5">
        <f>(B73)-(C73)</f>
        <v>-5833.39</v>
      </c>
      <c r="E73" s="10">
        <f>IF(C73=0,"",(B73)/(C73))</f>
        <v>0.41666099999999995</v>
      </c>
    </row>
    <row r="74" spans="1:5" x14ac:dyDescent="0.25">
      <c r="A74" s="3" t="s">
        <v>42</v>
      </c>
      <c r="B74" s="5">
        <f>2500.02</f>
        <v>2500.02</v>
      </c>
      <c r="C74" s="5">
        <f>5000</f>
        <v>5000</v>
      </c>
      <c r="D74" s="5">
        <f>(B74)-(C74)</f>
        <v>-2499.98</v>
      </c>
      <c r="E74" s="10">
        <f>IF(C74=0,"",(B74)/(C74))</f>
        <v>0.500004</v>
      </c>
    </row>
    <row r="75" spans="1:5" x14ac:dyDescent="0.25">
      <c r="A75" s="3" t="s">
        <v>43</v>
      </c>
      <c r="B75" s="5">
        <f>12791.65</f>
        <v>12791.65</v>
      </c>
      <c r="C75" s="5">
        <f>29200</f>
        <v>29200</v>
      </c>
      <c r="D75" s="5">
        <f>(B75)-(C75)</f>
        <v>-16408.349999999999</v>
      </c>
      <c r="E75" s="10">
        <f>IF(C75=0,"",(B75)/(C75))</f>
        <v>0.43807020547945202</v>
      </c>
    </row>
    <row r="76" spans="1:5" x14ac:dyDescent="0.25">
      <c r="A76" s="3" t="s">
        <v>77</v>
      </c>
      <c r="B76" s="5">
        <f>350</f>
        <v>350</v>
      </c>
      <c r="C76" s="5">
        <f>2100</f>
        <v>2100</v>
      </c>
      <c r="D76" s="5">
        <f>(B76)-(C76)</f>
        <v>-1750</v>
      </c>
      <c r="E76" s="10">
        <f>IF(C76=0,"",(B76)/(C76))</f>
        <v>0.16666666666666666</v>
      </c>
    </row>
    <row r="77" spans="1:5" x14ac:dyDescent="0.25">
      <c r="A77" s="3" t="s">
        <v>44</v>
      </c>
      <c r="B77" s="5">
        <f>2083.3</f>
        <v>2083.3000000000002</v>
      </c>
      <c r="C77" s="5">
        <f>5000</f>
        <v>5000</v>
      </c>
      <c r="D77" s="5">
        <f>(B77)-(C77)</f>
        <v>-2916.7</v>
      </c>
      <c r="E77" s="10">
        <f>IF(C77=0,"",(B77)/(C77))</f>
        <v>0.41666000000000003</v>
      </c>
    </row>
    <row r="78" spans="1:5" x14ac:dyDescent="0.25">
      <c r="A78" s="3" t="s">
        <v>45</v>
      </c>
      <c r="B78" s="5">
        <f>2083.31</f>
        <v>2083.31</v>
      </c>
      <c r="C78" s="5">
        <f>5000</f>
        <v>5000</v>
      </c>
      <c r="D78" s="5">
        <f>(B78)-(C78)</f>
        <v>-2916.69</v>
      </c>
      <c r="E78" s="10">
        <f>IF(C78=0,"",(B78)/(C78))</f>
        <v>0.41666199999999998</v>
      </c>
    </row>
    <row r="79" spans="1:5" x14ac:dyDescent="0.25">
      <c r="A79" s="3" t="s">
        <v>46</v>
      </c>
      <c r="B79" s="5">
        <f>4375.02</f>
        <v>4375.0200000000004</v>
      </c>
      <c r="C79" s="5">
        <f>8750</f>
        <v>8750</v>
      </c>
      <c r="D79" s="5">
        <f>(B79)-(C79)</f>
        <v>-4374.9799999999996</v>
      </c>
      <c r="E79" s="10">
        <f>IF(C79=0,"",(B79)/(C79))</f>
        <v>0.50000228571428573</v>
      </c>
    </row>
    <row r="80" spans="1:5" x14ac:dyDescent="0.25">
      <c r="A80" s="3" t="s">
        <v>47</v>
      </c>
      <c r="B80" s="5">
        <f>2758</f>
        <v>2758</v>
      </c>
      <c r="C80" s="5">
        <f>7400</f>
        <v>7400</v>
      </c>
      <c r="D80" s="5">
        <f>(B80)-(C80)</f>
        <v>-4642</v>
      </c>
      <c r="E80" s="10">
        <f>IF(C80=0,"",(B80)/(C80))</f>
        <v>0.37270270270270273</v>
      </c>
    </row>
    <row r="81" spans="1:5" x14ac:dyDescent="0.25">
      <c r="A81" s="3" t="s">
        <v>110</v>
      </c>
      <c r="B81" s="4"/>
      <c r="C81" s="5">
        <f>5000</f>
        <v>5000</v>
      </c>
      <c r="D81" s="5">
        <f>(B81)-(C81)</f>
        <v>-5000</v>
      </c>
      <c r="E81" s="10">
        <f>IF(C81=0,"",(B81)/(C81))</f>
        <v>0</v>
      </c>
    </row>
    <row r="82" spans="1:5" x14ac:dyDescent="0.25">
      <c r="A82" s="3" t="s">
        <v>109</v>
      </c>
      <c r="B82" s="4"/>
      <c r="C82" s="5">
        <f>300</f>
        <v>300</v>
      </c>
      <c r="D82" s="5">
        <f>(B82)-(C82)</f>
        <v>-300</v>
      </c>
      <c r="E82" s="10">
        <f>IF(C82=0,"",(B82)/(C82))</f>
        <v>0</v>
      </c>
    </row>
    <row r="83" spans="1:5" x14ac:dyDescent="0.25">
      <c r="A83" s="3" t="s">
        <v>48</v>
      </c>
      <c r="B83" s="7">
        <f>(((((((((((B71)+(B72))+(B73))+(B74))+(B75))+(B76))+(B77))+(B78))+(B79))+(B80))+(B81))+(B82)</f>
        <v>31107.91</v>
      </c>
      <c r="C83" s="7">
        <f>(((((((((((C71)+(C72))+(C73))+(C74))+(C75))+(C76))+(C77))+(C78))+(C79))+(C80))+(C81))+(C82)</f>
        <v>78000</v>
      </c>
      <c r="D83" s="7">
        <f>(B83)-(C83)</f>
        <v>-46892.09</v>
      </c>
      <c r="E83" s="9">
        <f>IF(C83=0,"",(B83)/(C83))</f>
        <v>0.398819358974359</v>
      </c>
    </row>
    <row r="84" spans="1:5" x14ac:dyDescent="0.25">
      <c r="A84" s="3" t="s">
        <v>49</v>
      </c>
      <c r="B84" s="4"/>
      <c r="C84" s="4"/>
      <c r="D84" s="5">
        <f>(B84)-(C84)</f>
        <v>0</v>
      </c>
      <c r="E84" s="10" t="str">
        <f>IF(C84=0,"",(B84)/(C84))</f>
        <v/>
      </c>
    </row>
    <row r="85" spans="1:5" x14ac:dyDescent="0.25">
      <c r="A85" s="3" t="s">
        <v>108</v>
      </c>
      <c r="B85" s="4"/>
      <c r="C85" s="5">
        <f>250</f>
        <v>250</v>
      </c>
      <c r="D85" s="5">
        <f>(B85)-(C85)</f>
        <v>-250</v>
      </c>
      <c r="E85" s="10">
        <f>IF(C85=0,"",(B85)/(C85))</f>
        <v>0</v>
      </c>
    </row>
    <row r="86" spans="1:5" x14ac:dyDescent="0.25">
      <c r="A86" s="3" t="s">
        <v>50</v>
      </c>
      <c r="B86" s="5">
        <f>385.66</f>
        <v>385.66</v>
      </c>
      <c r="C86" s="5">
        <f>8000</f>
        <v>8000</v>
      </c>
      <c r="D86" s="5">
        <f>(B86)-(C86)</f>
        <v>-7614.34</v>
      </c>
      <c r="E86" s="10">
        <f>IF(C86=0,"",(B86)/(C86))</f>
        <v>4.82075E-2</v>
      </c>
    </row>
    <row r="87" spans="1:5" x14ac:dyDescent="0.25">
      <c r="A87" s="3" t="s">
        <v>76</v>
      </c>
      <c r="B87" s="5">
        <f>28.54</f>
        <v>28.54</v>
      </c>
      <c r="C87" s="5">
        <f>1500</f>
        <v>1500</v>
      </c>
      <c r="D87" s="5">
        <f>(B87)-(C87)</f>
        <v>-1471.46</v>
      </c>
      <c r="E87" s="10">
        <f>IF(C87=0,"",(B87)/(C87))</f>
        <v>1.9026666666666667E-2</v>
      </c>
    </row>
    <row r="88" spans="1:5" x14ac:dyDescent="0.25">
      <c r="A88" s="3" t="s">
        <v>51</v>
      </c>
      <c r="B88" s="5">
        <f>7049.8</f>
        <v>7049.8</v>
      </c>
      <c r="C88" s="5">
        <f>37000</f>
        <v>37000</v>
      </c>
      <c r="D88" s="5">
        <f>(B88)-(C88)</f>
        <v>-29950.2</v>
      </c>
      <c r="E88" s="10">
        <f>IF(C88=0,"",(B88)/(C88))</f>
        <v>0.19053513513513515</v>
      </c>
    </row>
    <row r="89" spans="1:5" x14ac:dyDescent="0.25">
      <c r="A89" s="3" t="s">
        <v>75</v>
      </c>
      <c r="B89" s="5">
        <f>300</f>
        <v>300</v>
      </c>
      <c r="C89" s="4"/>
      <c r="D89" s="5">
        <f>(B89)-(C89)</f>
        <v>300</v>
      </c>
      <c r="E89" s="10" t="str">
        <f>IF(C89=0,"",(B89)/(C89))</f>
        <v/>
      </c>
    </row>
    <row r="90" spans="1:5" x14ac:dyDescent="0.25">
      <c r="A90" s="3" t="s">
        <v>107</v>
      </c>
      <c r="B90" s="4"/>
      <c r="C90" s="5">
        <f>1000</f>
        <v>1000</v>
      </c>
      <c r="D90" s="5">
        <f>(B90)-(C90)</f>
        <v>-1000</v>
      </c>
      <c r="E90" s="10">
        <f>IF(C90=0,"",(B90)/(C90))</f>
        <v>0</v>
      </c>
    </row>
    <row r="91" spans="1:5" x14ac:dyDescent="0.25">
      <c r="A91" s="3" t="s">
        <v>106</v>
      </c>
      <c r="B91" s="4"/>
      <c r="C91" s="5">
        <f>1500</f>
        <v>1500</v>
      </c>
      <c r="D91" s="5">
        <f>(B91)-(C91)</f>
        <v>-1500</v>
      </c>
      <c r="E91" s="10">
        <f>IF(C91=0,"",(B91)/(C91))</f>
        <v>0</v>
      </c>
    </row>
    <row r="92" spans="1:5" x14ac:dyDescent="0.25">
      <c r="A92" s="3" t="s">
        <v>74</v>
      </c>
      <c r="B92" s="5">
        <f>110</f>
        <v>110</v>
      </c>
      <c r="C92" s="5">
        <f>300</f>
        <v>300</v>
      </c>
      <c r="D92" s="5">
        <f>(B92)-(C92)</f>
        <v>-190</v>
      </c>
      <c r="E92" s="10">
        <f>IF(C92=0,"",(B92)/(C92))</f>
        <v>0.36666666666666664</v>
      </c>
    </row>
    <row r="93" spans="1:5" x14ac:dyDescent="0.25">
      <c r="A93" s="3" t="s">
        <v>105</v>
      </c>
      <c r="B93" s="4"/>
      <c r="C93" s="5">
        <f>1000</f>
        <v>1000</v>
      </c>
      <c r="D93" s="5">
        <f>(B93)-(C93)</f>
        <v>-1000</v>
      </c>
      <c r="E93" s="10">
        <f>IF(C93=0,"",(B93)/(C93))</f>
        <v>0</v>
      </c>
    </row>
    <row r="94" spans="1:5" x14ac:dyDescent="0.25">
      <c r="A94" s="3" t="s">
        <v>104</v>
      </c>
      <c r="B94" s="4"/>
      <c r="C94" s="5">
        <f>30054</f>
        <v>30054</v>
      </c>
      <c r="D94" s="5">
        <f>(B94)-(C94)</f>
        <v>-30054</v>
      </c>
      <c r="E94" s="10">
        <f>IF(C94=0,"",(B94)/(C94))</f>
        <v>0</v>
      </c>
    </row>
    <row r="95" spans="1:5" x14ac:dyDescent="0.25">
      <c r="A95" s="3" t="s">
        <v>52</v>
      </c>
      <c r="B95" s="7">
        <f>((((((((((B84)+(B85))+(B86))+(B87))+(B88))+(B89))+(B90))+(B91))+(B92))+(B93))+(B94)</f>
        <v>7874</v>
      </c>
      <c r="C95" s="7">
        <f>((((((((((C84)+(C85))+(C86))+(C87))+(C88))+(C89))+(C90))+(C91))+(C92))+(C93))+(C94)</f>
        <v>80604</v>
      </c>
      <c r="D95" s="7">
        <f>(B95)-(C95)</f>
        <v>-72730</v>
      </c>
      <c r="E95" s="9">
        <f>IF(C95=0,"",(B95)/(C95))</f>
        <v>9.7687459679420371E-2</v>
      </c>
    </row>
    <row r="96" spans="1:5" x14ac:dyDescent="0.25">
      <c r="A96" s="3" t="s">
        <v>53</v>
      </c>
      <c r="B96" s="4"/>
      <c r="C96" s="4"/>
      <c r="D96" s="5">
        <f>(B96)-(C96)</f>
        <v>0</v>
      </c>
      <c r="E96" s="10" t="str">
        <f>IF(C96=0,"",(B96)/(C96))</f>
        <v/>
      </c>
    </row>
    <row r="97" spans="1:5" x14ac:dyDescent="0.25">
      <c r="A97" s="3" t="s">
        <v>54</v>
      </c>
      <c r="B97" s="5">
        <f>34384.79</f>
        <v>34384.79</v>
      </c>
      <c r="C97" s="5">
        <f>64600</f>
        <v>64600</v>
      </c>
      <c r="D97" s="5">
        <f>(B97)-(C97)</f>
        <v>-30215.21</v>
      </c>
      <c r="E97" s="10">
        <f>IF(C97=0,"",(B97)/(C97))</f>
        <v>0.53227229102167184</v>
      </c>
    </row>
    <row r="98" spans="1:5" x14ac:dyDescent="0.25">
      <c r="A98" s="3" t="s">
        <v>73</v>
      </c>
      <c r="B98" s="5">
        <f>3221</f>
        <v>3221</v>
      </c>
      <c r="C98" s="5">
        <f>3250</f>
        <v>3250</v>
      </c>
      <c r="D98" s="5">
        <f>(B98)-(C98)</f>
        <v>-29</v>
      </c>
      <c r="E98" s="10">
        <f>IF(C98=0,"",(B98)/(C98))</f>
        <v>0.99107692307692308</v>
      </c>
    </row>
    <row r="99" spans="1:5" x14ac:dyDescent="0.25">
      <c r="A99" s="3" t="s">
        <v>103</v>
      </c>
      <c r="B99" s="4"/>
      <c r="C99" s="5">
        <f>72000</f>
        <v>72000</v>
      </c>
      <c r="D99" s="5">
        <f>(B99)-(C99)</f>
        <v>-72000</v>
      </c>
      <c r="E99" s="10">
        <f>IF(C99=0,"",(B99)/(C99))</f>
        <v>0</v>
      </c>
    </row>
    <row r="100" spans="1:5" x14ac:dyDescent="0.25">
      <c r="A100" s="3" t="s">
        <v>72</v>
      </c>
      <c r="B100" s="5">
        <f>148054.7</f>
        <v>148054.70000000001</v>
      </c>
      <c r="C100" s="5">
        <f>148054.71</f>
        <v>148054.71</v>
      </c>
      <c r="D100" s="5">
        <f>(B100)-(C100)</f>
        <v>-9.9999999802093953E-3</v>
      </c>
      <c r="E100" s="10">
        <f>IF(C100=0,"",(B100)/(C100))</f>
        <v>0.99999993245740049</v>
      </c>
    </row>
    <row r="101" spans="1:5" x14ac:dyDescent="0.25">
      <c r="A101" s="3" t="s">
        <v>102</v>
      </c>
      <c r="B101" s="4"/>
      <c r="C101" s="5">
        <f>3800</f>
        <v>3800</v>
      </c>
      <c r="D101" s="5">
        <f>(B101)-(C101)</f>
        <v>-3800</v>
      </c>
      <c r="E101" s="10">
        <f>IF(C101=0,"",(B101)/(C101))</f>
        <v>0</v>
      </c>
    </row>
    <row r="102" spans="1:5" x14ac:dyDescent="0.25">
      <c r="A102" s="3" t="s">
        <v>101</v>
      </c>
      <c r="B102" s="4"/>
      <c r="C102" s="5">
        <f>18092</f>
        <v>18092</v>
      </c>
      <c r="D102" s="5">
        <f>(B102)-(C102)</f>
        <v>-18092</v>
      </c>
      <c r="E102" s="10">
        <f>IF(C102=0,"",(B102)/(C102))</f>
        <v>0</v>
      </c>
    </row>
    <row r="103" spans="1:5" x14ac:dyDescent="0.25">
      <c r="A103" s="3" t="s">
        <v>55</v>
      </c>
      <c r="B103" s="7">
        <f>((((((B96)+(B97))+(B98))+(B99))+(B100))+(B101))+(B102)</f>
        <v>185660.49000000002</v>
      </c>
      <c r="C103" s="7">
        <f>((((((C96)+(C97))+(C98))+(C99))+(C100))+(C101))+(C102)</f>
        <v>309796.70999999996</v>
      </c>
      <c r="D103" s="7">
        <f>(B103)-(C103)</f>
        <v>-124136.21999999994</v>
      </c>
      <c r="E103" s="9">
        <f>IF(C103=0,"",(B103)/(C103))</f>
        <v>0.59929781048998243</v>
      </c>
    </row>
    <row r="104" spans="1:5" x14ac:dyDescent="0.25">
      <c r="A104" s="3" t="s">
        <v>71</v>
      </c>
      <c r="B104" s="4"/>
      <c r="C104" s="4"/>
      <c r="D104" s="5">
        <f>(B104)-(C104)</f>
        <v>0</v>
      </c>
      <c r="E104" s="10" t="str">
        <f>IF(C104=0,"",(B104)/(C104))</f>
        <v/>
      </c>
    </row>
    <row r="105" spans="1:5" x14ac:dyDescent="0.25">
      <c r="A105" s="3" t="s">
        <v>70</v>
      </c>
      <c r="B105" s="5">
        <f>17.84</f>
        <v>17.84</v>
      </c>
      <c r="C105" s="5">
        <f>750</f>
        <v>750</v>
      </c>
      <c r="D105" s="5">
        <f>(B105)-(C105)</f>
        <v>-732.16</v>
      </c>
      <c r="E105" s="10">
        <f>IF(C105=0,"",(B105)/(C105))</f>
        <v>2.3786666666666668E-2</v>
      </c>
    </row>
    <row r="106" spans="1:5" x14ac:dyDescent="0.25">
      <c r="A106" s="3" t="s">
        <v>100</v>
      </c>
      <c r="B106" s="4"/>
      <c r="C106" s="5">
        <f>1000</f>
        <v>1000</v>
      </c>
      <c r="D106" s="5">
        <f>(B106)-(C106)</f>
        <v>-1000</v>
      </c>
      <c r="E106" s="10">
        <f>IF(C106=0,"",(B106)/(C106))</f>
        <v>0</v>
      </c>
    </row>
    <row r="107" spans="1:5" x14ac:dyDescent="0.25">
      <c r="A107" s="3" t="s">
        <v>99</v>
      </c>
      <c r="B107" s="4"/>
      <c r="C107" s="5">
        <f>750</f>
        <v>750</v>
      </c>
      <c r="D107" s="5">
        <f>(B107)-(C107)</f>
        <v>-750</v>
      </c>
      <c r="E107" s="10">
        <f>IF(C107=0,"",(B107)/(C107))</f>
        <v>0</v>
      </c>
    </row>
    <row r="108" spans="1:5" x14ac:dyDescent="0.25">
      <c r="A108" s="3" t="s">
        <v>69</v>
      </c>
      <c r="B108" s="7">
        <f>(((B104)+(B105))+(B106))+(B107)</f>
        <v>17.84</v>
      </c>
      <c r="C108" s="7">
        <f>(((C104)+(C105))+(C106))+(C107)</f>
        <v>2500</v>
      </c>
      <c r="D108" s="7">
        <f>(B108)-(C108)</f>
        <v>-2482.16</v>
      </c>
      <c r="E108" s="9">
        <f>IF(C108=0,"",(B108)/(C108))</f>
        <v>7.136E-3</v>
      </c>
    </row>
    <row r="109" spans="1:5" x14ac:dyDescent="0.25">
      <c r="A109" s="3" t="s">
        <v>98</v>
      </c>
      <c r="B109" s="4"/>
      <c r="C109" s="5">
        <f>150</f>
        <v>150</v>
      </c>
      <c r="D109" s="5">
        <f>(B109)-(C109)</f>
        <v>-150</v>
      </c>
      <c r="E109" s="10">
        <f>IF(C109=0,"",(B109)/(C109))</f>
        <v>0</v>
      </c>
    </row>
    <row r="110" spans="1:5" x14ac:dyDescent="0.25">
      <c r="A110" s="3" t="s">
        <v>68</v>
      </c>
      <c r="B110" s="4"/>
      <c r="C110" s="4"/>
      <c r="D110" s="5">
        <f>(B110)-(C110)</f>
        <v>0</v>
      </c>
      <c r="E110" s="10" t="str">
        <f>IF(C110=0,"",(B110)/(C110))</f>
        <v/>
      </c>
    </row>
    <row r="111" spans="1:5" x14ac:dyDescent="0.25">
      <c r="A111" s="3" t="s">
        <v>67</v>
      </c>
      <c r="B111" s="4"/>
      <c r="C111" s="4"/>
      <c r="D111" s="5">
        <f>(B111)-(C111)</f>
        <v>0</v>
      </c>
      <c r="E111" s="10" t="str">
        <f>IF(C111=0,"",(B111)/(C111))</f>
        <v/>
      </c>
    </row>
    <row r="112" spans="1:5" x14ac:dyDescent="0.25">
      <c r="A112" s="3" t="s">
        <v>66</v>
      </c>
      <c r="B112" s="5">
        <f>1650</f>
        <v>1650</v>
      </c>
      <c r="C112" s="5">
        <f>3300</f>
        <v>3300</v>
      </c>
      <c r="D112" s="5">
        <f>(B112)-(C112)</f>
        <v>-1650</v>
      </c>
      <c r="E112" s="10">
        <f>IF(C112=0,"",(B112)/(C112))</f>
        <v>0.5</v>
      </c>
    </row>
    <row r="113" spans="1:5" x14ac:dyDescent="0.25">
      <c r="A113" s="3" t="s">
        <v>65</v>
      </c>
      <c r="B113" s="7">
        <f>(B111)+(B112)</f>
        <v>1650</v>
      </c>
      <c r="C113" s="7">
        <f>(C111)+(C112)</f>
        <v>3300</v>
      </c>
      <c r="D113" s="7">
        <f>(B113)-(C113)</f>
        <v>-1650</v>
      </c>
      <c r="E113" s="9">
        <f>IF(C113=0,"",(B113)/(C113))</f>
        <v>0.5</v>
      </c>
    </row>
    <row r="114" spans="1:5" x14ac:dyDescent="0.25">
      <c r="A114" s="3" t="s">
        <v>64</v>
      </c>
      <c r="B114" s="7">
        <f>(B110)+(B113)</f>
        <v>1650</v>
      </c>
      <c r="C114" s="7">
        <f>(C110)+(C113)</f>
        <v>3300</v>
      </c>
      <c r="D114" s="7">
        <f>(B114)-(C114)</f>
        <v>-1650</v>
      </c>
      <c r="E114" s="9">
        <f>IF(C114=0,"",(B114)/(C114))</f>
        <v>0.5</v>
      </c>
    </row>
    <row r="115" spans="1:5" x14ac:dyDescent="0.25">
      <c r="A115" s="3" t="s">
        <v>97</v>
      </c>
      <c r="B115" s="4"/>
      <c r="C115" s="5">
        <f>250</f>
        <v>250</v>
      </c>
      <c r="D115" s="5">
        <f>(B115)-(C115)</f>
        <v>-250</v>
      </c>
      <c r="E115" s="10">
        <f>IF(C115=0,"",(B115)/(C115))</f>
        <v>0</v>
      </c>
    </row>
    <row r="116" spans="1:5" x14ac:dyDescent="0.25">
      <c r="A116" s="3" t="s">
        <v>96</v>
      </c>
      <c r="B116" s="4"/>
      <c r="C116" s="4"/>
      <c r="D116" s="5">
        <f>(B116)-(C116)</f>
        <v>0</v>
      </c>
      <c r="E116" s="10" t="str">
        <f>IF(C116=0,"",(B116)/(C116))</f>
        <v/>
      </c>
    </row>
    <row r="117" spans="1:5" x14ac:dyDescent="0.25">
      <c r="A117" s="3" t="s">
        <v>95</v>
      </c>
      <c r="B117" s="4"/>
      <c r="C117" s="5">
        <f>250</f>
        <v>250</v>
      </c>
      <c r="D117" s="5">
        <f>(B117)-(C117)</f>
        <v>-250</v>
      </c>
      <c r="E117" s="10">
        <f>IF(C117=0,"",(B117)/(C117))</f>
        <v>0</v>
      </c>
    </row>
    <row r="118" spans="1:5" x14ac:dyDescent="0.25">
      <c r="A118" s="3" t="s">
        <v>94</v>
      </c>
      <c r="B118" s="4"/>
      <c r="C118" s="5">
        <f>150</f>
        <v>150</v>
      </c>
      <c r="D118" s="5">
        <f>(B118)-(C118)</f>
        <v>-150</v>
      </c>
      <c r="E118" s="10">
        <f>IF(C118=0,"",(B118)/(C118))</f>
        <v>0</v>
      </c>
    </row>
    <row r="119" spans="1:5" x14ac:dyDescent="0.25">
      <c r="A119" s="3" t="s">
        <v>93</v>
      </c>
      <c r="B119" s="4"/>
      <c r="C119" s="5">
        <f>150</f>
        <v>150</v>
      </c>
      <c r="D119" s="5">
        <f>(B119)-(C119)</f>
        <v>-150</v>
      </c>
      <c r="E119" s="10">
        <f>IF(C119=0,"",(B119)/(C119))</f>
        <v>0</v>
      </c>
    </row>
    <row r="120" spans="1:5" x14ac:dyDescent="0.25">
      <c r="A120" s="3" t="s">
        <v>92</v>
      </c>
      <c r="B120" s="4"/>
      <c r="C120" s="5">
        <f>250</f>
        <v>250</v>
      </c>
      <c r="D120" s="5">
        <f>(B120)-(C120)</f>
        <v>-250</v>
      </c>
      <c r="E120" s="10">
        <f>IF(C120=0,"",(B120)/(C120))</f>
        <v>0</v>
      </c>
    </row>
    <row r="121" spans="1:5" x14ac:dyDescent="0.25">
      <c r="A121" s="3" t="s">
        <v>91</v>
      </c>
      <c r="B121" s="4"/>
      <c r="C121" s="5">
        <f>150</f>
        <v>150</v>
      </c>
      <c r="D121" s="5">
        <f>(B121)-(C121)</f>
        <v>-150</v>
      </c>
      <c r="E121" s="10">
        <f>IF(C121=0,"",(B121)/(C121))</f>
        <v>0</v>
      </c>
    </row>
    <row r="122" spans="1:5" x14ac:dyDescent="0.25">
      <c r="A122" s="3" t="s">
        <v>90</v>
      </c>
      <c r="B122" s="7">
        <f>(((((B116)+(B117))+(B118))+(B119))+(B120))+(B121)</f>
        <v>0</v>
      </c>
      <c r="C122" s="7">
        <f>(((((C116)+(C117))+(C118))+(C119))+(C120))+(C121)</f>
        <v>950</v>
      </c>
      <c r="D122" s="7">
        <f>(B122)-(C122)</f>
        <v>-950</v>
      </c>
      <c r="E122" s="9">
        <f>IF(C122=0,"",(B122)/(C122))</f>
        <v>0</v>
      </c>
    </row>
    <row r="123" spans="1:5" x14ac:dyDescent="0.25">
      <c r="A123" s="3" t="s">
        <v>89</v>
      </c>
      <c r="B123" s="4"/>
      <c r="C123" s="5">
        <f>3500</f>
        <v>3500</v>
      </c>
      <c r="D123" s="5">
        <f>(B123)-(C123)</f>
        <v>-3500</v>
      </c>
      <c r="E123" s="10">
        <f>IF(C123=0,"",(B123)/(C123))</f>
        <v>0</v>
      </c>
    </row>
    <row r="124" spans="1:5" x14ac:dyDescent="0.25">
      <c r="A124" s="3" t="s">
        <v>56</v>
      </c>
      <c r="B124" s="7">
        <f>((((((((((((B51)+(B57))+(B63))+(B70))+(B83))+(B95))+(B103))+(B108))+(B109))+(B114))+(B115))+(B122))+(B123)</f>
        <v>348672.82</v>
      </c>
      <c r="C124" s="7">
        <f>((((((((((((C51)+(C57))+(C63))+(C70))+(C83))+(C95))+(C103))+(C108))+(C109))+(C114))+(C115))+(C122))+(C123)</f>
        <v>810235.71</v>
      </c>
      <c r="D124" s="7">
        <f>(B124)-(C124)</f>
        <v>-461562.88999999996</v>
      </c>
      <c r="E124" s="9">
        <f>IF(C124=0,"",(B124)/(C124))</f>
        <v>0.43033504410710316</v>
      </c>
    </row>
    <row r="125" spans="1:5" x14ac:dyDescent="0.25">
      <c r="A125" s="3" t="s">
        <v>57</v>
      </c>
      <c r="B125" s="7">
        <f>(B33)-(B124)</f>
        <v>179985.03999999998</v>
      </c>
      <c r="C125" s="7">
        <f>(C33)-(C124)</f>
        <v>-58195.709999999963</v>
      </c>
      <c r="D125" s="7">
        <f>(B125)-(C125)</f>
        <v>238180.74999999994</v>
      </c>
      <c r="E125" s="9">
        <f>IF(C125=0,"",(B125)/(C125))</f>
        <v>-3.0927544315551798</v>
      </c>
    </row>
    <row r="126" spans="1:5" x14ac:dyDescent="0.25">
      <c r="A126" s="3" t="s">
        <v>58</v>
      </c>
      <c r="B126" s="7">
        <f>(B125)+(0)</f>
        <v>179985.03999999998</v>
      </c>
      <c r="C126" s="7">
        <f>(C125)+(0)</f>
        <v>-58195.709999999963</v>
      </c>
      <c r="D126" s="7">
        <f>(B126)-(C126)</f>
        <v>238180.74999999994</v>
      </c>
      <c r="E126" s="9">
        <f>IF(C126=0,"",(B126)/(C126))</f>
        <v>-3.0927544315551798</v>
      </c>
    </row>
    <row r="127" spans="1:5" x14ac:dyDescent="0.25">
      <c r="A127" s="3"/>
      <c r="B127" s="4"/>
      <c r="C127" s="4"/>
      <c r="D127" s="4"/>
      <c r="E127" s="4"/>
    </row>
    <row r="130" spans="1:5" x14ac:dyDescent="0.25">
      <c r="A130" s="13" t="s">
        <v>213</v>
      </c>
      <c r="B130" s="14"/>
      <c r="C130" s="14"/>
      <c r="D130" s="14"/>
      <c r="E130" s="14"/>
    </row>
  </sheetData>
  <mergeCells count="5">
    <mergeCell ref="B5:E5"/>
    <mergeCell ref="A130:E130"/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Profit and Loss May</vt:lpstr>
      <vt:lpstr>Profit and Loss YTD</vt:lpstr>
      <vt:lpstr>Balance Sheet</vt:lpstr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Dee</cp:lastModifiedBy>
  <dcterms:created xsi:type="dcterms:W3CDTF">2019-06-10T18:55:56Z</dcterms:created>
  <dcterms:modified xsi:type="dcterms:W3CDTF">2019-06-10T19:55:01Z</dcterms:modified>
</cp:coreProperties>
</file>