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xr:revisionPtr revIDLastSave="0" documentId="8_{6968FF57-5EAB-9443-BE81-9C5EFE2FC3D5}" xr6:coauthVersionLast="45" xr6:coauthVersionMax="45" xr10:uidLastSave="{00000000-0000-0000-0000-000000000000}"/>
  <bookViews>
    <workbookView xWindow="1180" yWindow="460" windowWidth="17620" windowHeight="14540" xr2:uid="{00000000-000D-0000-FFFF-FFFF00000000}"/>
  </bookViews>
  <sheets>
    <sheet name="Budget vs. Actuals" sheetId="1" r:id="rId1"/>
    <sheet name="Profit and Loss May" sheetId="3" r:id="rId2"/>
    <sheet name="Balance Sheet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3" l="1"/>
  <c r="B8" i="3"/>
  <c r="C8" i="3" s="1"/>
  <c r="B9" i="3"/>
  <c r="C9" i="3" s="1"/>
  <c r="C10" i="3"/>
  <c r="B11" i="3"/>
  <c r="C11" i="3"/>
  <c r="B12" i="3"/>
  <c r="C12" i="3"/>
  <c r="C13" i="3"/>
  <c r="B14" i="3"/>
  <c r="C14" i="3" s="1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B29" i="3" s="1"/>
  <c r="C28" i="3"/>
  <c r="C30" i="3"/>
  <c r="B31" i="3"/>
  <c r="C31" i="3" s="1"/>
  <c r="B32" i="3"/>
  <c r="C32" i="3" s="1"/>
  <c r="C33" i="3"/>
  <c r="B34" i="3"/>
  <c r="B35" i="3" s="1"/>
  <c r="C35" i="3" s="1"/>
  <c r="C34" i="3"/>
  <c r="C36" i="3"/>
  <c r="B37" i="3"/>
  <c r="C37" i="3" s="1"/>
  <c r="B38" i="3"/>
  <c r="C38" i="3" s="1"/>
  <c r="B39" i="3"/>
  <c r="C39" i="3" s="1"/>
  <c r="B40" i="3"/>
  <c r="C40" i="3" s="1"/>
  <c r="B41" i="3"/>
  <c r="C41" i="3" s="1"/>
  <c r="B42" i="3"/>
  <c r="C42" i="3" s="1"/>
  <c r="B43" i="3"/>
  <c r="C43" i="3" s="1"/>
  <c r="B44" i="3"/>
  <c r="C44" i="3" s="1"/>
  <c r="B45" i="3"/>
  <c r="C45" i="3" s="1"/>
  <c r="C47" i="3"/>
  <c r="B48" i="3"/>
  <c r="C48" i="3"/>
  <c r="B49" i="3"/>
  <c r="C49" i="3"/>
  <c r="C50" i="3"/>
  <c r="B51" i="3"/>
  <c r="C51" i="3" s="1"/>
  <c r="B52" i="3"/>
  <c r="C52" i="3" s="1"/>
  <c r="B9" i="2"/>
  <c r="B10" i="2"/>
  <c r="B11" i="2"/>
  <c r="B38" i="2" s="1"/>
  <c r="B43" i="2" s="1"/>
  <c r="B44" i="2" s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40" i="2"/>
  <c r="B42" i="2" s="1"/>
  <c r="B41" i="2"/>
  <c r="B49" i="2"/>
  <c r="B50" i="2" s="1"/>
  <c r="B64" i="2" s="1"/>
  <c r="B65" i="2" s="1"/>
  <c r="B73" i="2" s="1"/>
  <c r="B52" i="2"/>
  <c r="B53" i="2"/>
  <c r="B55" i="2"/>
  <c r="B56" i="2"/>
  <c r="B57" i="2"/>
  <c r="B58" i="2"/>
  <c r="B59" i="2"/>
  <c r="B60" i="2"/>
  <c r="B61" i="2"/>
  <c r="B62" i="2"/>
  <c r="B63" i="2"/>
  <c r="B67" i="2"/>
  <c r="B68" i="2"/>
  <c r="B69" i="2"/>
  <c r="B70" i="2"/>
  <c r="B71" i="2"/>
  <c r="B72" i="2"/>
  <c r="C101" i="1"/>
  <c r="E101" i="1" s="1"/>
  <c r="E99" i="1"/>
  <c r="C99" i="1"/>
  <c r="B99" i="1"/>
  <c r="D99" i="1" s="1"/>
  <c r="E98" i="1"/>
  <c r="C98" i="1"/>
  <c r="D98" i="1" s="1"/>
  <c r="E97" i="1"/>
  <c r="D97" i="1"/>
  <c r="C96" i="1"/>
  <c r="E96" i="1" s="1"/>
  <c r="E94" i="1"/>
  <c r="D94" i="1"/>
  <c r="C94" i="1"/>
  <c r="C95" i="1" s="1"/>
  <c r="B94" i="1"/>
  <c r="B95" i="1" s="1"/>
  <c r="D95" i="1" s="1"/>
  <c r="E93" i="1"/>
  <c r="D93" i="1"/>
  <c r="E91" i="1"/>
  <c r="D91" i="1"/>
  <c r="C91" i="1"/>
  <c r="C90" i="1"/>
  <c r="E90" i="1" s="1"/>
  <c r="C89" i="1"/>
  <c r="E89" i="1" s="1"/>
  <c r="B89" i="1"/>
  <c r="D89" i="1" s="1"/>
  <c r="C88" i="1"/>
  <c r="E88" i="1" s="1"/>
  <c r="E87" i="1"/>
  <c r="C87" i="1"/>
  <c r="C92" i="1" s="1"/>
  <c r="B87" i="1"/>
  <c r="D87" i="1" s="1"/>
  <c r="E86" i="1"/>
  <c r="D86" i="1"/>
  <c r="E84" i="1"/>
  <c r="C84" i="1"/>
  <c r="B84" i="1"/>
  <c r="D84" i="1" s="1"/>
  <c r="E83" i="1"/>
  <c r="C83" i="1"/>
  <c r="B83" i="1"/>
  <c r="D83" i="1" s="1"/>
  <c r="E82" i="1"/>
  <c r="D82" i="1"/>
  <c r="C82" i="1"/>
  <c r="E81" i="1"/>
  <c r="D81" i="1"/>
  <c r="C81" i="1"/>
  <c r="E80" i="1"/>
  <c r="B80" i="1"/>
  <c r="D80" i="1" s="1"/>
  <c r="C79" i="1"/>
  <c r="E79" i="1" s="1"/>
  <c r="B79" i="1"/>
  <c r="D79" i="1" s="1"/>
  <c r="C78" i="1"/>
  <c r="E78" i="1" s="1"/>
  <c r="E77" i="1"/>
  <c r="C77" i="1"/>
  <c r="C85" i="1" s="1"/>
  <c r="B77" i="1"/>
  <c r="D77" i="1" s="1"/>
  <c r="E76" i="1"/>
  <c r="D76" i="1"/>
  <c r="B75" i="1"/>
  <c r="C74" i="1"/>
  <c r="E74" i="1" s="1"/>
  <c r="B74" i="1"/>
  <c r="D74" i="1" s="1"/>
  <c r="E73" i="1"/>
  <c r="B73" i="1"/>
  <c r="D73" i="1" s="1"/>
  <c r="E72" i="1"/>
  <c r="C72" i="1"/>
  <c r="B72" i="1"/>
  <c r="D72" i="1" s="1"/>
  <c r="E71" i="1"/>
  <c r="C71" i="1"/>
  <c r="B71" i="1"/>
  <c r="D71" i="1" s="1"/>
  <c r="E70" i="1"/>
  <c r="C70" i="1"/>
  <c r="B70" i="1"/>
  <c r="D70" i="1" s="1"/>
  <c r="E69" i="1"/>
  <c r="C69" i="1"/>
  <c r="B69" i="1"/>
  <c r="D69" i="1" s="1"/>
  <c r="E68" i="1"/>
  <c r="C68" i="1"/>
  <c r="B68" i="1"/>
  <c r="D68" i="1" s="1"/>
  <c r="E67" i="1"/>
  <c r="C67" i="1"/>
  <c r="B67" i="1"/>
  <c r="D67" i="1" s="1"/>
  <c r="E66" i="1"/>
  <c r="C66" i="1"/>
  <c r="B66" i="1"/>
  <c r="D66" i="1" s="1"/>
  <c r="E65" i="1"/>
  <c r="C65" i="1"/>
  <c r="B65" i="1"/>
  <c r="D65" i="1" s="1"/>
  <c r="E64" i="1"/>
  <c r="D64" i="1"/>
  <c r="C64" i="1"/>
  <c r="E63" i="1"/>
  <c r="D63" i="1"/>
  <c r="B62" i="1"/>
  <c r="D62" i="1" s="1"/>
  <c r="E61" i="1"/>
  <c r="D61" i="1"/>
  <c r="C61" i="1"/>
  <c r="E60" i="1"/>
  <c r="D60" i="1"/>
  <c r="C60" i="1"/>
  <c r="B60" i="1"/>
  <c r="E59" i="1"/>
  <c r="D59" i="1"/>
  <c r="C59" i="1"/>
  <c r="C62" i="1" s="1"/>
  <c r="E58" i="1"/>
  <c r="D58" i="1"/>
  <c r="E56" i="1"/>
  <c r="D56" i="1"/>
  <c r="C56" i="1"/>
  <c r="B56" i="1"/>
  <c r="E55" i="1"/>
  <c r="D55" i="1"/>
  <c r="C55" i="1"/>
  <c r="C54" i="1"/>
  <c r="C57" i="1" s="1"/>
  <c r="B54" i="1"/>
  <c r="B57" i="1" s="1"/>
  <c r="E53" i="1"/>
  <c r="D53" i="1"/>
  <c r="E51" i="1"/>
  <c r="D51" i="1"/>
  <c r="C51" i="1"/>
  <c r="C52" i="1" s="1"/>
  <c r="B51" i="1"/>
  <c r="B52" i="1" s="1"/>
  <c r="E50" i="1"/>
  <c r="D50" i="1"/>
  <c r="C48" i="1"/>
  <c r="E48" i="1" s="1"/>
  <c r="B48" i="1"/>
  <c r="C47" i="1"/>
  <c r="B47" i="1"/>
  <c r="C46" i="1"/>
  <c r="B46" i="1"/>
  <c r="C45" i="1"/>
  <c r="B45" i="1"/>
  <c r="C44" i="1"/>
  <c r="E44" i="1" s="1"/>
  <c r="B44" i="1"/>
  <c r="C43" i="1"/>
  <c r="C42" i="1"/>
  <c r="B42" i="1"/>
  <c r="C41" i="1"/>
  <c r="B41" i="1"/>
  <c r="C40" i="1"/>
  <c r="B40" i="1"/>
  <c r="C39" i="1"/>
  <c r="B39" i="1"/>
  <c r="C38" i="1"/>
  <c r="B38" i="1"/>
  <c r="C37" i="1"/>
  <c r="E37" i="1" s="1"/>
  <c r="C36" i="1"/>
  <c r="E36" i="1" s="1"/>
  <c r="D35" i="1"/>
  <c r="C35" i="1"/>
  <c r="B35" i="1"/>
  <c r="E34" i="1"/>
  <c r="D34" i="1"/>
  <c r="E30" i="1"/>
  <c r="B30" i="1"/>
  <c r="D30" i="1" s="1"/>
  <c r="C28" i="1"/>
  <c r="E28" i="1" s="1"/>
  <c r="B28" i="1"/>
  <c r="C27" i="1"/>
  <c r="D27" i="1" s="1"/>
  <c r="E26" i="1"/>
  <c r="D26" i="1"/>
  <c r="C24" i="1"/>
  <c r="E24" i="1" s="1"/>
  <c r="B24" i="1"/>
  <c r="D24" i="1" s="1"/>
  <c r="E23" i="1"/>
  <c r="B23" i="1"/>
  <c r="D23" i="1" s="1"/>
  <c r="E22" i="1"/>
  <c r="D22" i="1"/>
  <c r="C21" i="1"/>
  <c r="B21" i="1"/>
  <c r="B25" i="1" s="1"/>
  <c r="C20" i="1"/>
  <c r="E19" i="1"/>
  <c r="D19" i="1"/>
  <c r="C17" i="1"/>
  <c r="C18" i="1" s="1"/>
  <c r="D18" i="1" s="1"/>
  <c r="B17" i="1"/>
  <c r="B18" i="1" s="1"/>
  <c r="E16" i="1"/>
  <c r="D16" i="1"/>
  <c r="B15" i="1"/>
  <c r="C14" i="1"/>
  <c r="E14" i="1" s="1"/>
  <c r="C13" i="1"/>
  <c r="D13" i="1" s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29" i="3" l="1"/>
  <c r="B46" i="3"/>
  <c r="C46" i="3" s="1"/>
  <c r="B15" i="3"/>
  <c r="D52" i="1"/>
  <c r="E52" i="1"/>
  <c r="D57" i="1"/>
  <c r="E95" i="1"/>
  <c r="D17" i="1"/>
  <c r="D37" i="1"/>
  <c r="E45" i="1"/>
  <c r="D54" i="1"/>
  <c r="C75" i="1"/>
  <c r="D75" i="1" s="1"/>
  <c r="B85" i="1"/>
  <c r="E85" i="1" s="1"/>
  <c r="D90" i="1"/>
  <c r="B100" i="1"/>
  <c r="D101" i="1"/>
  <c r="E13" i="1"/>
  <c r="E17" i="1"/>
  <c r="E27" i="1"/>
  <c r="D36" i="1"/>
  <c r="E54" i="1"/>
  <c r="D78" i="1"/>
  <c r="D88" i="1"/>
  <c r="B92" i="1"/>
  <c r="E92" i="1" s="1"/>
  <c r="D96" i="1"/>
  <c r="C100" i="1"/>
  <c r="E100" i="1" s="1"/>
  <c r="D28" i="1"/>
  <c r="E42" i="1"/>
  <c r="D42" i="1"/>
  <c r="E41" i="1"/>
  <c r="D41" i="1"/>
  <c r="E46" i="1"/>
  <c r="E20" i="1"/>
  <c r="C25" i="1"/>
  <c r="D25" i="1" s="1"/>
  <c r="D20" i="1"/>
  <c r="E21" i="1"/>
  <c r="D21" i="1"/>
  <c r="E40" i="1"/>
  <c r="D40" i="1"/>
  <c r="E18" i="1"/>
  <c r="E38" i="1"/>
  <c r="D38" i="1"/>
  <c r="B49" i="1"/>
  <c r="E39" i="1"/>
  <c r="D39" i="1"/>
  <c r="C49" i="1"/>
  <c r="E43" i="1"/>
  <c r="D43" i="1"/>
  <c r="E47" i="1"/>
  <c r="D47" i="1"/>
  <c r="C15" i="1"/>
  <c r="D15" i="1" s="1"/>
  <c r="B29" i="1"/>
  <c r="E35" i="1"/>
  <c r="D44" i="1"/>
  <c r="D45" i="1"/>
  <c r="D46" i="1"/>
  <c r="D48" i="1"/>
  <c r="E57" i="1"/>
  <c r="E62" i="1"/>
  <c r="E75" i="1"/>
  <c r="D92" i="1"/>
  <c r="D14" i="1"/>
  <c r="C29" i="1"/>
  <c r="D85" i="1"/>
  <c r="B53" i="3" l="1"/>
  <c r="C53" i="3" s="1"/>
  <c r="C15" i="3"/>
  <c r="B16" i="3"/>
  <c r="D100" i="1"/>
  <c r="E49" i="1"/>
  <c r="C102" i="1"/>
  <c r="E15" i="1"/>
  <c r="C31" i="1"/>
  <c r="B102" i="1"/>
  <c r="D49" i="1"/>
  <c r="E29" i="1"/>
  <c r="D29" i="1"/>
  <c r="E25" i="1"/>
  <c r="B31" i="1"/>
  <c r="C16" i="3" l="1"/>
  <c r="B17" i="3"/>
  <c r="E31" i="1"/>
  <c r="C32" i="1"/>
  <c r="E102" i="1"/>
  <c r="D102" i="1"/>
  <c r="D31" i="1"/>
  <c r="B32" i="1"/>
  <c r="B54" i="3" l="1"/>
  <c r="C17" i="3"/>
  <c r="B103" i="1"/>
  <c r="D32" i="1"/>
  <c r="E32" i="1"/>
  <c r="C103" i="1"/>
  <c r="C54" i="3" l="1"/>
  <c r="B55" i="3"/>
  <c r="C55" i="3" s="1"/>
  <c r="E103" i="1"/>
  <c r="C104" i="1"/>
  <c r="D103" i="1"/>
  <c r="B104" i="1"/>
  <c r="D104" i="1" l="1"/>
  <c r="E104" i="1"/>
</calcChain>
</file>

<file path=xl/sharedStrings.xml><?xml version="1.0" encoding="utf-8"?>
<sst xmlns="http://schemas.openxmlformats.org/spreadsheetml/2006/main" count="236" uniqueCount="183">
  <si>
    <t>Chapter</t>
  </si>
  <si>
    <t>TOTAL</t>
  </si>
  <si>
    <t>Actual</t>
  </si>
  <si>
    <t>Budget</t>
  </si>
  <si>
    <t>over Budget</t>
  </si>
  <si>
    <t>% of Budget</t>
  </si>
  <si>
    <t>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</si>
  <si>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</si>
  <si>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</si>
  <si>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</si>
  <si>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</t>
  </si>
  <si>
    <t xml:space="preserve">      4126 Conference Profit - Prior Year</t>
  </si>
  <si>
    <t xml:space="preserve">      4127 Pre-Conference Session Profit</t>
  </si>
  <si>
    <t xml:space="preserve">      4128 Extra Conference Profit 2016 for Allocation</t>
  </si>
  <si>
    <t xml:space="preserve">   Total 4100 Dues &amp; Conference</t>
  </si>
  <si>
    <t xml:space="preserve">   4200 Administrative Income</t>
  </si>
  <si>
    <t xml:space="preserve">      4205 Extra Award Reimb</t>
  </si>
  <si>
    <t xml:space="preserve">   Total 4200 Administrative Income</t>
  </si>
  <si>
    <t xml:space="preserve">   4400 Professional Development Income</t>
  </si>
  <si>
    <t xml:space="preserve">      4405 AICP Publications</t>
  </si>
  <si>
    <t xml:space="preserve">      4410 Webcast/Workshop Income</t>
  </si>
  <si>
    <t xml:space="preserve">      4420 Section-Wide Events Income</t>
  </si>
  <si>
    <t xml:space="preserve">         4428 AICP Pulications</t>
  </si>
  <si>
    <t xml:space="preserve">      Total 4420 Section-Wide Events Income</t>
  </si>
  <si>
    <t xml:space="preserve">   Total 4400 Professional Development Income</t>
  </si>
  <si>
    <t xml:space="preserve">   4500 Public Information Income</t>
  </si>
  <si>
    <t xml:space="preserve">      4510 News - Ads</t>
  </si>
  <si>
    <t xml:space="preserve">      4520 Web Ad</t>
  </si>
  <si>
    <t xml:space="preserve">   Total 4500 Public Information Income</t>
  </si>
  <si>
    <t xml:space="preserve">   9200 Federal Tax Return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</si>
  <si>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</si>
  <si>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</si>
  <si>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</si>
  <si>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</si>
  <si>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</si>
  <si>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</si>
  <si>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</si>
  <si>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</si>
  <si>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</si>
  <si>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5140 Telephone/Fax</t>
  </si>
  <si>
    <t xml:space="preserve">      5145 Office Supplies</t>
  </si>
  <si>
    <t xml:space="preserve">      5150 Postage</t>
  </si>
  <si>
    <t xml:space="preserve">      5155 Dues &amp; Subscriptions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</si>
  <si>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</si>
  <si>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</si>
  <si>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</si>
  <si>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</si>
  <si>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</si>
  <si>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</si>
  <si>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</si>
  <si>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5220 President-Elect/Past President</t>
  </si>
  <si>
    <t xml:space="preserve">   Total 5200 President Expense</t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</si>
  <si>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</si>
  <si>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</si>
  <si>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</si>
  <si>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</si>
  <si>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</si>
  <si>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Development</t>
  </si>
  <si>
    <t xml:space="preserve">      5402 APA Anniversary Activities</t>
  </si>
  <si>
    <t xml:space="preserve">      5415 Webinars/Workshops</t>
  </si>
  <si>
    <t xml:space="preserve">      5420 AICP Publications</t>
  </si>
  <si>
    <t xml:space="preserve">   Total 5400 Professional Development</t>
  </si>
  <si>
    <t xml:space="preserve">   5500 Public Information Expense</t>
  </si>
  <si>
    <t xml:space="preserve">      5505 V.P. for Public Information Exp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</si>
  <si>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</si>
  <si>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</si>
  <si>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</si>
  <si>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</si>
  <si>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</si>
  <si>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 xml:space="preserve">      5530 Awards Program - Website Update</t>
  </si>
  <si>
    <t xml:space="preserve">      5535 Webmaster - ATEGO</t>
  </si>
  <si>
    <t xml:space="preserve">      5540 Website Hosting/Support</t>
  </si>
  <si>
    <t xml:space="preserve">      5545 Website Redesign</t>
  </si>
  <si>
    <t xml:space="preserve">      5555 Other Public Information</t>
  </si>
  <si>
    <t xml:space="preserve">   Total 5500 Public Information Expense</t>
  </si>
  <si>
    <t xml:space="preserve">   5600 Administrative</t>
  </si>
  <si>
    <t xml:space="preserve">      5610 Awards</t>
  </si>
  <si>
    <t xml:space="preserve">      5615 Extra Award Expense</t>
  </si>
  <si>
    <t xml:space="preserve">      5620 Bookkeeping/Accounting/Tax Services</t>
  </si>
  <si>
    <t xml:space="preserve">      5625 Reserves/Savings Contributions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</si>
  <si>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</si>
  <si>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</si>
  <si>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</si>
  <si>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5669 Future Expenditures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</si>
  <si>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</si>
  <si>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</si>
  <si>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</si>
  <si>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</si>
  <si>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</si>
  <si>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5725 Section Chapter-Only Rebate</t>
  </si>
  <si>
    <t xml:space="preserve">      5730 Section Grants &amp; Projects/Extra 2016 Conf Profits</t>
  </si>
  <si>
    <t xml:space="preserve">   Total 5700 Section Subventions</t>
  </si>
  <si>
    <t xml:space="preserve">   5900 Other Expenses</t>
  </si>
  <si>
    <t xml:space="preserve">      5915 CSUN Archives</t>
  </si>
  <si>
    <t xml:space="preserve">   Total 5900 Other Expenses</t>
  </si>
  <si>
    <t xml:space="preserve">   6205 VP Conference Expense</t>
  </si>
  <si>
    <t xml:space="preserve">   6300 Marketing &amp; Membership</t>
  </si>
  <si>
    <t xml:space="preserve">      6320 Great Places</t>
  </si>
  <si>
    <t xml:space="preserve">      6335 Membership Programs</t>
  </si>
  <si>
    <t xml:space="preserve">   Total 6300 Marketing &amp; Membership</t>
  </si>
  <si>
    <t xml:space="preserve">   6439 Pre-Conference Session Expenses</t>
  </si>
  <si>
    <t>Total Expenses</t>
  </si>
  <si>
    <t>Net Operating Income</t>
  </si>
  <si>
    <t>Net Income</t>
  </si>
  <si>
    <t>Thursday, Jun 04, 2020 03:31:40 PM GMT-7 - Cash Basis</t>
  </si>
  <si>
    <t>American Planning Assoc. California Chapter</t>
  </si>
  <si>
    <t>Budget vs. Actuals: Chapter 2020 (REVISED) - FY20 P&amp;L  Classes</t>
  </si>
  <si>
    <t>January - May, 2020</t>
  </si>
  <si>
    <t>Thursday, Jun 04, 2020 03:33:07 PM GMT-7 - Cash Basis</t>
  </si>
  <si>
    <t>TOTAL LIABILITIES AND EQUITY</t>
  </si>
  <si>
    <t xml:space="preserve">   Total Equity</t>
  </si>
  <si>
    <t xml:space="preserve">      Net Income</t>
  </si>
  <si>
    <t xml:space="preserve">      3900 Unrestricted Net Assets</t>
  </si>
  <si>
    <t xml:space="preserve">      3200 Retained Earnings Conference</t>
  </si>
  <si>
    <t xml:space="preserve">      3100 Retained Earnings Sections</t>
  </si>
  <si>
    <t xml:space="preserve">      3000 Retained Earnings</t>
  </si>
  <si>
    <t xml:space="preserve">   Equity</t>
  </si>
  <si>
    <t xml:space="preserve">   Total Liabilities</t>
  </si>
  <si>
    <t xml:space="preserve">      Total Current Liabilities</t>
  </si>
  <si>
    <t xml:space="preserve">         Total Other Current Liabilities</t>
  </si>
  <si>
    <t xml:space="preserve">            Seed Money Liability</t>
  </si>
  <si>
    <t xml:space="preserve">            Grants - Liabilities</t>
  </si>
  <si>
    <t xml:space="preserve">            2500 Inter-Fund Tranfers</t>
  </si>
  <si>
    <t xml:space="preserve">            2450 Payable to Chapter</t>
  </si>
  <si>
    <t xml:space="preserve">            2410 Due to Plan 4 Health</t>
  </si>
  <si>
    <t xml:space="preserve">            2400 Payable to Conference # 3</t>
  </si>
  <si>
    <t xml:space="preserve">            2300 Payable to Conference # 2</t>
  </si>
  <si>
    <t xml:space="preserve">            2200 Payable to Conference # 1</t>
  </si>
  <si>
    <t xml:space="preserve">         Other Current Liabilities</t>
  </si>
  <si>
    <t xml:space="preserve">         Total Credit Cards</t>
  </si>
  <si>
    <t xml:space="preserve">            8508 BofA Credit Card [Chapter]</t>
  </si>
  <si>
    <t xml:space="preserve">         Credit Cards</t>
  </si>
  <si>
    <t xml:space="preserve">         Total Accounts Payable</t>
  </si>
  <si>
    <t xml:space="preserve">            2000 Accounts Payable</t>
  </si>
  <si>
    <t xml:space="preserve">         Accounts Payable</t>
  </si>
  <si>
    <t xml:space="preserve">      Current Liabilities</t>
  </si>
  <si>
    <t xml:space="preserve">   Liabilities</t>
  </si>
  <si>
    <t>LIABILITIES AND EQUITY</t>
  </si>
  <si>
    <t>TOTAL ASSETS</t>
  </si>
  <si>
    <t xml:space="preserve">   Total Current Assets</t>
  </si>
  <si>
    <t xml:space="preserve">      Total Other Current Assets</t>
  </si>
  <si>
    <t xml:space="preserve">         12200 Loan to Conf #3</t>
  </si>
  <si>
    <t xml:space="preserve">         12000 Undeposited Funds</t>
  </si>
  <si>
    <t xml:space="preserve">      Other Current Assets</t>
  </si>
  <si>
    <t xml:space="preserve">      Total Bank Accounts</t>
  </si>
  <si>
    <t xml:space="preserve">         1059 Janus Account Orange</t>
  </si>
  <si>
    <t xml:space="preserve">         1058 Citibank Checking - ORANGE</t>
  </si>
  <si>
    <t xml:space="preserve">         1057 Chase Scholarship - ORANGE</t>
  </si>
  <si>
    <t xml:space="preserve">         1056 Chase Checking - ORANGE</t>
  </si>
  <si>
    <t xml:space="preserve">         1054 Chase Savings - ORANGE</t>
  </si>
  <si>
    <t xml:space="preserve">         1052 Wells Fargo Svgs - Northern</t>
  </si>
  <si>
    <t xml:space="preserve">         1051 Wells Fargo Ckg - Northern</t>
  </si>
  <si>
    <t xml:space="preserve">         1048 Los Angeles - Savings (new)</t>
  </si>
  <si>
    <t xml:space="preserve">         1047 Los Angeles - Savings</t>
  </si>
  <si>
    <t xml:space="preserve">         1046 Los Angeles - Checking</t>
  </si>
  <si>
    <t xml:space="preserve">         1035 B of A Savings CENTRAL</t>
  </si>
  <si>
    <t xml:space="preserve">         1034 B of A Checking - CENTRAL</t>
  </si>
  <si>
    <t xml:space="preserve">         1031 Wells Fargo Brokerage - Central Coast</t>
  </si>
  <si>
    <t xml:space="preserve">         1030 WFB Checking - Central Coast</t>
  </si>
  <si>
    <t xml:space="preserve">         1028 Inland Empire Union Bank Ckg</t>
  </si>
  <si>
    <t xml:space="preserve">         1027 San Diego CCu Cert #39</t>
  </si>
  <si>
    <t xml:space="preserve">         1026 San Diego CCU Cert #38</t>
  </si>
  <si>
    <t xml:space="preserve">         1025 San Diego CCU Cert #36</t>
  </si>
  <si>
    <t xml:space="preserve">         1024 San Diego CCU MM#01</t>
  </si>
  <si>
    <t xml:space="preserve">         1023 San Diego CCU Sav #00</t>
  </si>
  <si>
    <t xml:space="preserve">         1022 San Diego CCU Ckg #96</t>
  </si>
  <si>
    <t xml:space="preserve">         1019 B of A-Conference #4 - 2021</t>
  </si>
  <si>
    <t xml:space="preserve">         1018 B of A - Conference # 3 (#7129) - 2018</t>
  </si>
  <si>
    <t xml:space="preserve">         1015 B of A - Conference # 2 (#3350) - 2020</t>
  </si>
  <si>
    <t xml:space="preserve">         1014 B of A - Conference # 1 (#1444) - 2019</t>
  </si>
  <si>
    <t xml:space="preserve">         1010 Bank of America - Chapter</t>
  </si>
  <si>
    <t xml:space="preserve">         1007 Capital One 360 - Sac Valley</t>
  </si>
  <si>
    <t xml:space="preserve">         1006 River City Bank - Sac Valley</t>
  </si>
  <si>
    <t xml:space="preserve">         1000 American Funds - Class A</t>
  </si>
  <si>
    <t xml:space="preserve">      Bank Accounts</t>
  </si>
  <si>
    <t xml:space="preserve">   Current Assets</t>
  </si>
  <si>
    <t>ASSETS</t>
  </si>
  <si>
    <t>Total</t>
  </si>
  <si>
    <t>As of May 31, 2020</t>
  </si>
  <si>
    <t>Balance Sheet</t>
  </si>
  <si>
    <t>Thursday, Jun 04, 2020 03:34:33 PM GMT-7 - Cash Basis</t>
  </si>
  <si>
    <t>May 2020</t>
  </si>
  <si>
    <t>Profit and Loss by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</si>
</sst>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"/>
    <numFmt numFmtId="165" formatCode="&quot;$&quot;* #,##0.00\ _€"/>
  </numFmts>
  <fonts count="6" x14ac:knownFonts="1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5" fontId="2" fillId="0" borderId="2" xfId="0" applyNumberFormat="1" applyFont="1" applyBorder="1" applyAlignment="1">
      <alignment horizontal="right" wrapText="1"/>
    </xf>
    <xf numFmtId="10" fontId="2" fillId="0" borderId="2" xfId="0" applyNumberFormat="1" applyFont="1" applyBorder="1" applyAlignment="1">
      <alignment horizontal="right" wrapText="1"/>
    </xf>
    <xf numFmtId="165" fontId="2" fillId="0" borderId="3" xfId="0" applyNumberFormat="1" applyFont="1" applyBorder="1" applyAlignment="1">
      <alignment horizontal="right" wrapText="1"/>
    </xf>
    <xf numFmtId="10" fontId="2" fillId="0" borderId="3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8"/>
  <sheetViews>
    <sheetView tabSelected="1" topLeftCell="A93" workbookViewId="0">
      <selection activeCell="G8" sqref="G8"/>
    </sheetView>
  </sheetViews>
  <sheetFormatPr baseColWidth="10" defaultColWidth="8.83203125" defaultRowHeight="15" x14ac:dyDescent="0.2"/>
  <cols>
    <col min="1" max="1" width="36.5" customWidth="1"/>
    <col min="2" max="5" width="12" customWidth="1"/>
  </cols>
  <sheetData>
    <row r="1" spans="1:5" ht="18" x14ac:dyDescent="0.2">
      <c r="A1" s="15" t="s">
        <v>105</v>
      </c>
      <c r="B1" s="14"/>
      <c r="C1" s="14"/>
      <c r="D1" s="14"/>
      <c r="E1" s="14"/>
    </row>
    <row r="2" spans="1:5" ht="18" x14ac:dyDescent="0.2">
      <c r="A2" s="15" t="s">
        <v>106</v>
      </c>
      <c r="B2" s="14"/>
      <c r="C2" s="14"/>
      <c r="D2" s="14"/>
      <c r="E2" s="14"/>
    </row>
    <row r="3" spans="1:5" x14ac:dyDescent="0.2">
      <c r="A3" s="16" t="s">
        <v>107</v>
      </c>
      <c r="B3" s="14"/>
      <c r="C3" s="14"/>
      <c r="D3" s="14"/>
      <c r="E3" s="14"/>
    </row>
    <row r="5" spans="1:5" x14ac:dyDescent="0.2">
      <c r="A5" s="1"/>
      <c r="B5" s="11" t="s">
        <v>0</v>
      </c>
      <c r="C5" s="12"/>
      <c r="D5" s="12"/>
      <c r="E5" s="12"/>
    </row>
    <row r="6" spans="1:5" x14ac:dyDescent="0.2">
      <c r="A6" s="1"/>
      <c r="B6" s="2" t="s">
        <v>2</v>
      </c>
      <c r="C6" s="2" t="s">
        <v>3</v>
      </c>
      <c r="D6" s="2" t="s">
        <v>4</v>
      </c>
      <c r="E6" s="2" t="s">
        <v>5</v>
      </c>
    </row>
    <row r="7" spans="1:5" x14ac:dyDescent="0.2">
      <c r="A7" s="3" t="s">
        <v>6</v>
      </c>
      <c r="B7" s="4"/>
      <c r="C7" s="4"/>
      <c r="D7" s="4"/>
      <c r="E7" s="4"/>
    </row>
    <row r="8" spans="1:5" x14ac:dyDescent="0.2">
      <c r="A8" s="3" t="s">
        <v>7</v>
      </c>
      <c r="B8" s="4"/>
      <c r="C8" s="4"/>
      <c r="D8" s="5">
        <f t="shared" ref="D8:D32" si="0">(B8)-(C8)</f>
        <v>0</v>
      </c>
      <c r="E8" s="6" t="str">
        <f t="shared" ref="E8:E32" si="1">IF(C8=0,"",(B8)/(C8))</f>
        <v/>
      </c>
    </row>
    <row r="9" spans="1:5" x14ac:dyDescent="0.2">
      <c r="A9" s="3" t="s">
        <v>8</v>
      </c>
      <c r="B9" s="5">
        <f>203626.5</f>
        <v>203626.5</v>
      </c>
      <c r="C9" s="5">
        <f>380000</f>
        <v>380000</v>
      </c>
      <c r="D9" s="5">
        <f t="shared" si="0"/>
        <v>-176373.5</v>
      </c>
      <c r="E9" s="6">
        <f t="shared" si="1"/>
        <v>0.5358592105263158</v>
      </c>
    </row>
    <row r="10" spans="1:5" x14ac:dyDescent="0.2">
      <c r="A10" s="3" t="s">
        <v>9</v>
      </c>
      <c r="B10" s="5">
        <f>4515</f>
        <v>4515</v>
      </c>
      <c r="C10" s="5">
        <f>22000</f>
        <v>22000</v>
      </c>
      <c r="D10" s="5">
        <f t="shared" si="0"/>
        <v>-17485</v>
      </c>
      <c r="E10" s="6">
        <f t="shared" si="1"/>
        <v>0.20522727272727273</v>
      </c>
    </row>
    <row r="11" spans="1:5" x14ac:dyDescent="0.2">
      <c r="A11" s="3" t="s">
        <v>10</v>
      </c>
      <c r="B11" s="5">
        <f>120000</f>
        <v>120000</v>
      </c>
      <c r="C11" s="5">
        <f>120000</f>
        <v>120000</v>
      </c>
      <c r="D11" s="5">
        <f t="shared" si="0"/>
        <v>0</v>
      </c>
      <c r="E11" s="6">
        <f t="shared" si="1"/>
        <v>1</v>
      </c>
    </row>
    <row r="12" spans="1:5" x14ac:dyDescent="0.2">
      <c r="A12" s="3" t="s">
        <v>11</v>
      </c>
      <c r="B12" s="5">
        <f>54206.78</f>
        <v>54206.78</v>
      </c>
      <c r="C12" s="5">
        <f>54242</f>
        <v>54242</v>
      </c>
      <c r="D12" s="5">
        <f t="shared" si="0"/>
        <v>-35.220000000001164</v>
      </c>
      <c r="E12" s="6">
        <f t="shared" si="1"/>
        <v>0.99935068765900958</v>
      </c>
    </row>
    <row r="13" spans="1:5" x14ac:dyDescent="0.2">
      <c r="A13" s="3" t="s">
        <v>12</v>
      </c>
      <c r="B13" s="4"/>
      <c r="C13" s="5">
        <f>3000</f>
        <v>3000</v>
      </c>
      <c r="D13" s="5">
        <f t="shared" si="0"/>
        <v>-3000</v>
      </c>
      <c r="E13" s="6">
        <f t="shared" si="1"/>
        <v>0</v>
      </c>
    </row>
    <row r="14" spans="1:5" x14ac:dyDescent="0.2">
      <c r="A14" s="3" t="s">
        <v>13</v>
      </c>
      <c r="B14" s="4"/>
      <c r="C14" s="5">
        <f>28100</f>
        <v>28100</v>
      </c>
      <c r="D14" s="5">
        <f t="shared" si="0"/>
        <v>-28100</v>
      </c>
      <c r="E14" s="6">
        <f t="shared" si="1"/>
        <v>0</v>
      </c>
    </row>
    <row r="15" spans="1:5" x14ac:dyDescent="0.2">
      <c r="A15" s="3" t="s">
        <v>14</v>
      </c>
      <c r="B15" s="7">
        <f>((((((B8)+(B9))+(B10))+(B11))+(B12))+(B13))+(B14)</f>
        <v>382348.28</v>
      </c>
      <c r="C15" s="7">
        <f>((((((C8)+(C9))+(C10))+(C11))+(C12))+(C13))+(C14)</f>
        <v>607342</v>
      </c>
      <c r="D15" s="7">
        <f t="shared" si="0"/>
        <v>-224993.71999999997</v>
      </c>
      <c r="E15" s="8">
        <f t="shared" si="1"/>
        <v>0.62954361792861357</v>
      </c>
    </row>
    <row r="16" spans="1:5" x14ac:dyDescent="0.2">
      <c r="A16" s="3" t="s">
        <v>15</v>
      </c>
      <c r="B16" s="4"/>
      <c r="C16" s="4"/>
      <c r="D16" s="5">
        <f t="shared" si="0"/>
        <v>0</v>
      </c>
      <c r="E16" s="6" t="str">
        <f t="shared" si="1"/>
        <v/>
      </c>
    </row>
    <row r="17" spans="1:5" x14ac:dyDescent="0.2">
      <c r="A17" s="3" t="s">
        <v>16</v>
      </c>
      <c r="B17" s="5">
        <f>-125</f>
        <v>-125</v>
      </c>
      <c r="C17" s="5">
        <f>500</f>
        <v>500</v>
      </c>
      <c r="D17" s="5">
        <f t="shared" si="0"/>
        <v>-625</v>
      </c>
      <c r="E17" s="6">
        <f t="shared" si="1"/>
        <v>-0.25</v>
      </c>
    </row>
    <row r="18" spans="1:5" x14ac:dyDescent="0.2">
      <c r="A18" s="3" t="s">
        <v>17</v>
      </c>
      <c r="B18" s="7">
        <f>(B16)+(B17)</f>
        <v>-125</v>
      </c>
      <c r="C18" s="7">
        <f>(C16)+(C17)</f>
        <v>500</v>
      </c>
      <c r="D18" s="7">
        <f t="shared" si="0"/>
        <v>-625</v>
      </c>
      <c r="E18" s="8">
        <f t="shared" si="1"/>
        <v>-0.25</v>
      </c>
    </row>
    <row r="19" spans="1:5" x14ac:dyDescent="0.2">
      <c r="A19" s="3" t="s">
        <v>18</v>
      </c>
      <c r="B19" s="4"/>
      <c r="C19" s="4"/>
      <c r="D19" s="5">
        <f t="shared" si="0"/>
        <v>0</v>
      </c>
      <c r="E19" s="6" t="str">
        <f t="shared" si="1"/>
        <v/>
      </c>
    </row>
    <row r="20" spans="1:5" x14ac:dyDescent="0.2">
      <c r="A20" s="3" t="s">
        <v>19</v>
      </c>
      <c r="B20" s="4"/>
      <c r="C20" s="5">
        <f>150</f>
        <v>150</v>
      </c>
      <c r="D20" s="5">
        <f t="shared" si="0"/>
        <v>-150</v>
      </c>
      <c r="E20" s="6">
        <f t="shared" si="1"/>
        <v>0</v>
      </c>
    </row>
    <row r="21" spans="1:5" x14ac:dyDescent="0.2">
      <c r="A21" s="3" t="s">
        <v>20</v>
      </c>
      <c r="B21" s="5">
        <f>2340</f>
        <v>2340</v>
      </c>
      <c r="C21" s="5">
        <f>6000</f>
        <v>6000</v>
      </c>
      <c r="D21" s="5">
        <f t="shared" si="0"/>
        <v>-3660</v>
      </c>
      <c r="E21" s="6">
        <f t="shared" si="1"/>
        <v>0.39</v>
      </c>
    </row>
    <row r="22" spans="1:5" x14ac:dyDescent="0.2">
      <c r="A22" s="3" t="s">
        <v>21</v>
      </c>
      <c r="B22" s="4"/>
      <c r="C22" s="4"/>
      <c r="D22" s="5">
        <f t="shared" si="0"/>
        <v>0</v>
      </c>
      <c r="E22" s="6" t="str">
        <f t="shared" si="1"/>
        <v/>
      </c>
    </row>
    <row r="23" spans="1:5" x14ac:dyDescent="0.2">
      <c r="A23" s="3" t="s">
        <v>22</v>
      </c>
      <c r="B23" s="5">
        <f>15</f>
        <v>15</v>
      </c>
      <c r="C23" s="4"/>
      <c r="D23" s="5">
        <f t="shared" si="0"/>
        <v>15</v>
      </c>
      <c r="E23" s="6" t="str">
        <f t="shared" si="1"/>
        <v/>
      </c>
    </row>
    <row r="24" spans="1:5" x14ac:dyDescent="0.2">
      <c r="A24" s="3" t="s">
        <v>23</v>
      </c>
      <c r="B24" s="7">
        <f>(B22)+(B23)</f>
        <v>15</v>
      </c>
      <c r="C24" s="7">
        <f>(C22)+(C23)</f>
        <v>0</v>
      </c>
      <c r="D24" s="7">
        <f t="shared" si="0"/>
        <v>15</v>
      </c>
      <c r="E24" s="8" t="str">
        <f t="shared" si="1"/>
        <v/>
      </c>
    </row>
    <row r="25" spans="1:5" x14ac:dyDescent="0.2">
      <c r="A25" s="3" t="s">
        <v>24</v>
      </c>
      <c r="B25" s="7">
        <f>(((B19)+(B20))+(B21))+(B24)</f>
        <v>2355</v>
      </c>
      <c r="C25" s="7">
        <f>(((C19)+(C20))+(C21))+(C24)</f>
        <v>6150</v>
      </c>
      <c r="D25" s="7">
        <f t="shared" si="0"/>
        <v>-3795</v>
      </c>
      <c r="E25" s="8">
        <f t="shared" si="1"/>
        <v>0.38292682926829269</v>
      </c>
    </row>
    <row r="26" spans="1:5" x14ac:dyDescent="0.2">
      <c r="A26" s="3" t="s">
        <v>25</v>
      </c>
      <c r="B26" s="4"/>
      <c r="C26" s="4"/>
      <c r="D26" s="5">
        <f t="shared" si="0"/>
        <v>0</v>
      </c>
      <c r="E26" s="6" t="str">
        <f t="shared" si="1"/>
        <v/>
      </c>
    </row>
    <row r="27" spans="1:5" x14ac:dyDescent="0.2">
      <c r="A27" s="3" t="s">
        <v>26</v>
      </c>
      <c r="B27" s="4"/>
      <c r="C27" s="5">
        <f>2000</f>
        <v>2000</v>
      </c>
      <c r="D27" s="5">
        <f t="shared" si="0"/>
        <v>-2000</v>
      </c>
      <c r="E27" s="6">
        <f t="shared" si="1"/>
        <v>0</v>
      </c>
    </row>
    <row r="28" spans="1:5" x14ac:dyDescent="0.2">
      <c r="A28" s="3" t="s">
        <v>27</v>
      </c>
      <c r="B28" s="5">
        <f>18725</f>
        <v>18725</v>
      </c>
      <c r="C28" s="5">
        <f>58000</f>
        <v>58000</v>
      </c>
      <c r="D28" s="5">
        <f t="shared" si="0"/>
        <v>-39275</v>
      </c>
      <c r="E28" s="6">
        <f t="shared" si="1"/>
        <v>0.32284482758620692</v>
      </c>
    </row>
    <row r="29" spans="1:5" x14ac:dyDescent="0.2">
      <c r="A29" s="3" t="s">
        <v>28</v>
      </c>
      <c r="B29" s="7">
        <f>((B26)+(B27))+(B28)</f>
        <v>18725</v>
      </c>
      <c r="C29" s="7">
        <f>((C26)+(C27))+(C28)</f>
        <v>60000</v>
      </c>
      <c r="D29" s="7">
        <f t="shared" si="0"/>
        <v>-41275</v>
      </c>
      <c r="E29" s="8">
        <f t="shared" si="1"/>
        <v>0.31208333333333332</v>
      </c>
    </row>
    <row r="30" spans="1:5" x14ac:dyDescent="0.2">
      <c r="A30" s="3" t="s">
        <v>29</v>
      </c>
      <c r="B30" s="5">
        <f>14.06</f>
        <v>14.06</v>
      </c>
      <c r="C30" s="4"/>
      <c r="D30" s="5">
        <f t="shared" si="0"/>
        <v>14.06</v>
      </c>
      <c r="E30" s="6" t="str">
        <f t="shared" si="1"/>
        <v/>
      </c>
    </row>
    <row r="31" spans="1:5" x14ac:dyDescent="0.2">
      <c r="A31" s="3" t="s">
        <v>30</v>
      </c>
      <c r="B31" s="7">
        <f>((((B15)+(B18))+(B25))+(B29))+(B30)</f>
        <v>403317.34</v>
      </c>
      <c r="C31" s="7">
        <f>((((C15)+(C18))+(C25))+(C29))+(C30)</f>
        <v>673992</v>
      </c>
      <c r="D31" s="7">
        <f t="shared" si="0"/>
        <v>-270674.65999999997</v>
      </c>
      <c r="E31" s="8">
        <f t="shared" si="1"/>
        <v>0.59840078220513004</v>
      </c>
    </row>
    <row r="32" spans="1:5" x14ac:dyDescent="0.2">
      <c r="A32" s="3" t="s">
        <v>31</v>
      </c>
      <c r="B32" s="7">
        <f>(B31)-(0)</f>
        <v>403317.34</v>
      </c>
      <c r="C32" s="7">
        <f>(C31)-(0)</f>
        <v>673992</v>
      </c>
      <c r="D32" s="7">
        <f t="shared" si="0"/>
        <v>-270674.65999999997</v>
      </c>
      <c r="E32" s="8">
        <f t="shared" si="1"/>
        <v>0.59840078220513004</v>
      </c>
    </row>
    <row r="33" spans="1:5" x14ac:dyDescent="0.2">
      <c r="A33" s="3" t="s">
        <v>32</v>
      </c>
      <c r="B33" s="4"/>
      <c r="C33" s="4"/>
      <c r="D33" s="4"/>
      <c r="E33" s="4"/>
    </row>
    <row r="34" spans="1:5" x14ac:dyDescent="0.2">
      <c r="A34" s="3" t="s">
        <v>33</v>
      </c>
      <c r="B34" s="4"/>
      <c r="C34" s="4"/>
      <c r="D34" s="5">
        <f t="shared" ref="D34:D65" si="2">(B34)-(C34)</f>
        <v>0</v>
      </c>
      <c r="E34" s="6" t="str">
        <f t="shared" ref="E34:E65" si="3">IF(C34=0,"",(B34)/(C34))</f>
        <v/>
      </c>
    </row>
    <row r="35" spans="1:5" x14ac:dyDescent="0.2">
      <c r="A35" s="3" t="s">
        <v>34</v>
      </c>
      <c r="B35" s="5">
        <f>27500</f>
        <v>27500</v>
      </c>
      <c r="C35" s="5">
        <f>66000</f>
        <v>66000</v>
      </c>
      <c r="D35" s="5">
        <f t="shared" si="2"/>
        <v>-38500</v>
      </c>
      <c r="E35" s="6">
        <f t="shared" si="3"/>
        <v>0.41666666666666669</v>
      </c>
    </row>
    <row r="36" spans="1:5" x14ac:dyDescent="0.2">
      <c r="A36" s="3" t="s">
        <v>35</v>
      </c>
      <c r="B36" s="4"/>
      <c r="C36" s="5">
        <f>650</f>
        <v>650</v>
      </c>
      <c r="D36" s="5">
        <f t="shared" si="2"/>
        <v>-650</v>
      </c>
      <c r="E36" s="6">
        <f t="shared" si="3"/>
        <v>0</v>
      </c>
    </row>
    <row r="37" spans="1:5" x14ac:dyDescent="0.2">
      <c r="A37" s="3" t="s">
        <v>36</v>
      </c>
      <c r="B37" s="4"/>
      <c r="C37" s="5">
        <f>10000</f>
        <v>10000</v>
      </c>
      <c r="D37" s="5">
        <f t="shared" si="2"/>
        <v>-10000</v>
      </c>
      <c r="E37" s="6">
        <f t="shared" si="3"/>
        <v>0</v>
      </c>
    </row>
    <row r="38" spans="1:5" x14ac:dyDescent="0.2">
      <c r="A38" s="3" t="s">
        <v>37</v>
      </c>
      <c r="B38" s="5">
        <f>285.43</f>
        <v>285.43</v>
      </c>
      <c r="C38" s="5">
        <f>1000</f>
        <v>1000</v>
      </c>
      <c r="D38" s="5">
        <f t="shared" si="2"/>
        <v>-714.56999999999994</v>
      </c>
      <c r="E38" s="6">
        <f t="shared" si="3"/>
        <v>0.28543000000000002</v>
      </c>
    </row>
    <row r="39" spans="1:5" x14ac:dyDescent="0.2">
      <c r="A39" s="3" t="s">
        <v>38</v>
      </c>
      <c r="B39" s="5">
        <f>17472.43</f>
        <v>17472.43</v>
      </c>
      <c r="C39" s="5">
        <f>18000</f>
        <v>18000</v>
      </c>
      <c r="D39" s="5">
        <f t="shared" si="2"/>
        <v>-527.56999999999971</v>
      </c>
      <c r="E39" s="6">
        <f t="shared" si="3"/>
        <v>0.97069055555555561</v>
      </c>
    </row>
    <row r="40" spans="1:5" x14ac:dyDescent="0.2">
      <c r="A40" s="3" t="s">
        <v>39</v>
      </c>
      <c r="B40" s="5">
        <f>500</f>
        <v>500</v>
      </c>
      <c r="C40" s="5">
        <f>1300</f>
        <v>1300</v>
      </c>
      <c r="D40" s="5">
        <f t="shared" si="2"/>
        <v>-800</v>
      </c>
      <c r="E40" s="6">
        <f t="shared" si="3"/>
        <v>0.38461538461538464</v>
      </c>
    </row>
    <row r="41" spans="1:5" x14ac:dyDescent="0.2">
      <c r="A41" s="3" t="s">
        <v>40</v>
      </c>
      <c r="B41" s="5">
        <f>363.8</f>
        <v>363.8</v>
      </c>
      <c r="C41" s="5">
        <f>1600</f>
        <v>1600</v>
      </c>
      <c r="D41" s="5">
        <f t="shared" si="2"/>
        <v>-1236.2</v>
      </c>
      <c r="E41" s="6">
        <f t="shared" si="3"/>
        <v>0.22737499999999999</v>
      </c>
    </row>
    <row r="42" spans="1:5" x14ac:dyDescent="0.2">
      <c r="A42" s="3" t="s">
        <v>41</v>
      </c>
      <c r="B42" s="5">
        <f>63.1</f>
        <v>63.1</v>
      </c>
      <c r="C42" s="5">
        <f>700</f>
        <v>700</v>
      </c>
      <c r="D42" s="5">
        <f t="shared" si="2"/>
        <v>-636.9</v>
      </c>
      <c r="E42" s="6">
        <f t="shared" si="3"/>
        <v>9.014285714285715E-2</v>
      </c>
    </row>
    <row r="43" spans="1:5" x14ac:dyDescent="0.2">
      <c r="A43" s="3" t="s">
        <v>42</v>
      </c>
      <c r="B43" s="4"/>
      <c r="C43" s="5">
        <f>60</f>
        <v>60</v>
      </c>
      <c r="D43" s="5">
        <f t="shared" si="2"/>
        <v>-60</v>
      </c>
      <c r="E43" s="6">
        <f t="shared" si="3"/>
        <v>0</v>
      </c>
    </row>
    <row r="44" spans="1:5" x14ac:dyDescent="0.2">
      <c r="A44" s="3" t="s">
        <v>43</v>
      </c>
      <c r="B44" s="5">
        <f>875</f>
        <v>875</v>
      </c>
      <c r="C44" s="5">
        <f>2100</f>
        <v>2100</v>
      </c>
      <c r="D44" s="5">
        <f t="shared" si="2"/>
        <v>-1225</v>
      </c>
      <c r="E44" s="6">
        <f t="shared" si="3"/>
        <v>0.41666666666666669</v>
      </c>
    </row>
    <row r="45" spans="1:5" x14ac:dyDescent="0.2">
      <c r="A45" s="3" t="s">
        <v>44</v>
      </c>
      <c r="B45" s="5">
        <f>1338.47</f>
        <v>1338.47</v>
      </c>
      <c r="C45" s="5">
        <f>4000</f>
        <v>4000</v>
      </c>
      <c r="D45" s="5">
        <f t="shared" si="2"/>
        <v>-2661.5299999999997</v>
      </c>
      <c r="E45" s="6">
        <f t="shared" si="3"/>
        <v>0.33461750000000001</v>
      </c>
    </row>
    <row r="46" spans="1:5" x14ac:dyDescent="0.2">
      <c r="A46" s="3" t="s">
        <v>45</v>
      </c>
      <c r="B46" s="5">
        <f>11250</f>
        <v>11250</v>
      </c>
      <c r="C46" s="5">
        <f>27000</f>
        <v>27000</v>
      </c>
      <c r="D46" s="5">
        <f t="shared" si="2"/>
        <v>-15750</v>
      </c>
      <c r="E46" s="6">
        <f t="shared" si="3"/>
        <v>0.41666666666666669</v>
      </c>
    </row>
    <row r="47" spans="1:5" x14ac:dyDescent="0.2">
      <c r="A47" s="3" t="s">
        <v>46</v>
      </c>
      <c r="B47" s="5">
        <f>15208.3</f>
        <v>15208.3</v>
      </c>
      <c r="C47" s="5">
        <f>36500</f>
        <v>36500</v>
      </c>
      <c r="D47" s="5">
        <f t="shared" si="2"/>
        <v>-21291.7</v>
      </c>
      <c r="E47" s="6">
        <f t="shared" si="3"/>
        <v>0.4166657534246575</v>
      </c>
    </row>
    <row r="48" spans="1:5" x14ac:dyDescent="0.2">
      <c r="A48" s="3" t="s">
        <v>47</v>
      </c>
      <c r="B48" s="5">
        <f>56.48</f>
        <v>56.48</v>
      </c>
      <c r="C48" s="5">
        <f>115</f>
        <v>115</v>
      </c>
      <c r="D48" s="5">
        <f t="shared" si="2"/>
        <v>-58.52</v>
      </c>
      <c r="E48" s="6">
        <f t="shared" si="3"/>
        <v>0.49113043478260865</v>
      </c>
    </row>
    <row r="49" spans="1:5" x14ac:dyDescent="0.2">
      <c r="A49" s="3" t="s">
        <v>48</v>
      </c>
      <c r="B49" s="7">
        <f>((((((((((((((B34)+(B35))+(B36))+(B37))+(B38))+(B39))+(B40))+(B41))+(B42))+(B43))+(B44))+(B45))+(B46))+(B47))+(B48)</f>
        <v>74913.009999999995</v>
      </c>
      <c r="C49" s="7">
        <f>((((((((((((((C34)+(C35))+(C36))+(C37))+(C38))+(C39))+(C40))+(C41))+(C42))+(C43))+(C44))+(C45))+(C46))+(C47))+(C48)</f>
        <v>169025</v>
      </c>
      <c r="D49" s="7">
        <f t="shared" si="2"/>
        <v>-94111.99</v>
      </c>
      <c r="E49" s="8">
        <f t="shared" si="3"/>
        <v>0.44320668540156777</v>
      </c>
    </row>
    <row r="50" spans="1:5" x14ac:dyDescent="0.2">
      <c r="A50" s="3" t="s">
        <v>49</v>
      </c>
      <c r="B50" s="4"/>
      <c r="C50" s="4"/>
      <c r="D50" s="5">
        <f t="shared" si="2"/>
        <v>0</v>
      </c>
      <c r="E50" s="6" t="str">
        <f t="shared" si="3"/>
        <v/>
      </c>
    </row>
    <row r="51" spans="1:5" x14ac:dyDescent="0.2">
      <c r="A51" s="3" t="s">
        <v>50</v>
      </c>
      <c r="B51" s="5">
        <f>96.46</f>
        <v>96.46</v>
      </c>
      <c r="C51" s="5">
        <f>100</f>
        <v>100</v>
      </c>
      <c r="D51" s="5">
        <f t="shared" si="2"/>
        <v>-3.5400000000000063</v>
      </c>
      <c r="E51" s="6">
        <f t="shared" si="3"/>
        <v>0.9645999999999999</v>
      </c>
    </row>
    <row r="52" spans="1:5" x14ac:dyDescent="0.2">
      <c r="A52" s="3" t="s">
        <v>51</v>
      </c>
      <c r="B52" s="7">
        <f>(B50)+(B51)</f>
        <v>96.46</v>
      </c>
      <c r="C52" s="7">
        <f>(C50)+(C51)</f>
        <v>100</v>
      </c>
      <c r="D52" s="7">
        <f t="shared" si="2"/>
        <v>-3.5400000000000063</v>
      </c>
      <c r="E52" s="8">
        <f t="shared" si="3"/>
        <v>0.9645999999999999</v>
      </c>
    </row>
    <row r="53" spans="1:5" x14ac:dyDescent="0.2">
      <c r="A53" s="3" t="s">
        <v>52</v>
      </c>
      <c r="B53" s="4"/>
      <c r="C53" s="4"/>
      <c r="D53" s="5">
        <f t="shared" si="2"/>
        <v>0</v>
      </c>
      <c r="E53" s="6" t="str">
        <f t="shared" si="3"/>
        <v/>
      </c>
    </row>
    <row r="54" spans="1:5" x14ac:dyDescent="0.2">
      <c r="A54" s="3" t="s">
        <v>53</v>
      </c>
      <c r="B54" s="5">
        <f>40000</f>
        <v>40000</v>
      </c>
      <c r="C54" s="5">
        <f>96000</f>
        <v>96000</v>
      </c>
      <c r="D54" s="5">
        <f t="shared" si="2"/>
        <v>-56000</v>
      </c>
      <c r="E54" s="6">
        <f t="shared" si="3"/>
        <v>0.41666666666666669</v>
      </c>
    </row>
    <row r="55" spans="1:5" x14ac:dyDescent="0.2">
      <c r="A55" s="3" t="s">
        <v>54</v>
      </c>
      <c r="B55" s="4"/>
      <c r="C55" s="5">
        <f>1000</f>
        <v>1000</v>
      </c>
      <c r="D55" s="5">
        <f t="shared" si="2"/>
        <v>-1000</v>
      </c>
      <c r="E55" s="6">
        <f t="shared" si="3"/>
        <v>0</v>
      </c>
    </row>
    <row r="56" spans="1:5" x14ac:dyDescent="0.2">
      <c r="A56" s="3" t="s">
        <v>55</v>
      </c>
      <c r="B56" s="5">
        <f>35.46</f>
        <v>35.46</v>
      </c>
      <c r="C56" s="5">
        <f>100</f>
        <v>100</v>
      </c>
      <c r="D56" s="5">
        <f t="shared" si="2"/>
        <v>-64.539999999999992</v>
      </c>
      <c r="E56" s="6">
        <f t="shared" si="3"/>
        <v>0.35460000000000003</v>
      </c>
    </row>
    <row r="57" spans="1:5" x14ac:dyDescent="0.2">
      <c r="A57" s="3" t="s">
        <v>56</v>
      </c>
      <c r="B57" s="7">
        <f>(((B53)+(B54))+(B55))+(B56)</f>
        <v>40035.46</v>
      </c>
      <c r="C57" s="7">
        <f>(((C53)+(C54))+(C55))+(C56)</f>
        <v>97100</v>
      </c>
      <c r="D57" s="7">
        <f t="shared" si="2"/>
        <v>-57064.54</v>
      </c>
      <c r="E57" s="8">
        <f t="shared" si="3"/>
        <v>0.41231163748712668</v>
      </c>
    </row>
    <row r="58" spans="1:5" x14ac:dyDescent="0.2">
      <c r="A58" s="3" t="s">
        <v>57</v>
      </c>
      <c r="B58" s="4"/>
      <c r="C58" s="4"/>
      <c r="D58" s="5">
        <f t="shared" si="2"/>
        <v>0</v>
      </c>
      <c r="E58" s="6" t="str">
        <f t="shared" si="3"/>
        <v/>
      </c>
    </row>
    <row r="59" spans="1:5" x14ac:dyDescent="0.2">
      <c r="A59" s="3" t="s">
        <v>58</v>
      </c>
      <c r="B59" s="4"/>
      <c r="C59" s="5">
        <f>1500</f>
        <v>1500</v>
      </c>
      <c r="D59" s="5">
        <f t="shared" si="2"/>
        <v>-1500</v>
      </c>
      <c r="E59" s="6">
        <f t="shared" si="3"/>
        <v>0</v>
      </c>
    </row>
    <row r="60" spans="1:5" x14ac:dyDescent="0.2">
      <c r="A60" s="3" t="s">
        <v>59</v>
      </c>
      <c r="B60" s="5">
        <f>1066.65</f>
        <v>1066.6500000000001</v>
      </c>
      <c r="C60" s="5">
        <f>6000</f>
        <v>6000</v>
      </c>
      <c r="D60" s="5">
        <f t="shared" si="2"/>
        <v>-4933.3500000000004</v>
      </c>
      <c r="E60" s="6">
        <f t="shared" si="3"/>
        <v>0.17777500000000002</v>
      </c>
    </row>
    <row r="61" spans="1:5" x14ac:dyDescent="0.2">
      <c r="A61" s="3" t="s">
        <v>60</v>
      </c>
      <c r="B61" s="4"/>
      <c r="C61" s="5">
        <f>200</f>
        <v>200</v>
      </c>
      <c r="D61" s="5">
        <f t="shared" si="2"/>
        <v>-200</v>
      </c>
      <c r="E61" s="6">
        <f t="shared" si="3"/>
        <v>0</v>
      </c>
    </row>
    <row r="62" spans="1:5" x14ac:dyDescent="0.2">
      <c r="A62" s="3" t="s">
        <v>61</v>
      </c>
      <c r="B62" s="7">
        <f>(((B58)+(B59))+(B60))+(B61)</f>
        <v>1066.6500000000001</v>
      </c>
      <c r="C62" s="7">
        <f>(((C58)+(C59))+(C60))+(C61)</f>
        <v>7700</v>
      </c>
      <c r="D62" s="7">
        <f t="shared" si="2"/>
        <v>-6633.35</v>
      </c>
      <c r="E62" s="8">
        <f t="shared" si="3"/>
        <v>0.13852597402597402</v>
      </c>
    </row>
    <row r="63" spans="1:5" x14ac:dyDescent="0.2">
      <c r="A63" s="3" t="s">
        <v>62</v>
      </c>
      <c r="B63" s="4"/>
      <c r="C63" s="4"/>
      <c r="D63" s="5">
        <f t="shared" si="2"/>
        <v>0</v>
      </c>
      <c r="E63" s="6" t="str">
        <f t="shared" si="3"/>
        <v/>
      </c>
    </row>
    <row r="64" spans="1:5" x14ac:dyDescent="0.2">
      <c r="A64" s="3" t="s">
        <v>63</v>
      </c>
      <c r="B64" s="4"/>
      <c r="C64" s="5">
        <f>250</f>
        <v>250</v>
      </c>
      <c r="D64" s="5">
        <f t="shared" si="2"/>
        <v>-250</v>
      </c>
      <c r="E64" s="6">
        <f t="shared" si="3"/>
        <v>0</v>
      </c>
    </row>
    <row r="65" spans="1:5" x14ac:dyDescent="0.2">
      <c r="A65" s="3" t="s">
        <v>64</v>
      </c>
      <c r="B65" s="5">
        <f>4166.62</f>
        <v>4166.62</v>
      </c>
      <c r="C65" s="5">
        <f>10000</f>
        <v>10000</v>
      </c>
      <c r="D65" s="5">
        <f t="shared" si="2"/>
        <v>-5833.38</v>
      </c>
      <c r="E65" s="6">
        <f t="shared" si="3"/>
        <v>0.41666199999999998</v>
      </c>
    </row>
    <row r="66" spans="1:5" x14ac:dyDescent="0.2">
      <c r="A66" s="3" t="s">
        <v>65</v>
      </c>
      <c r="B66" s="5">
        <f>2083.35</f>
        <v>2083.35</v>
      </c>
      <c r="C66" s="5">
        <f>5000</f>
        <v>5000</v>
      </c>
      <c r="D66" s="5">
        <f t="shared" ref="D66:D97" si="4">(B66)-(C66)</f>
        <v>-2916.65</v>
      </c>
      <c r="E66" s="6">
        <f t="shared" ref="E66:E97" si="5">IF(C66=0,"",(B66)/(C66))</f>
        <v>0.41666999999999998</v>
      </c>
    </row>
    <row r="67" spans="1:5" x14ac:dyDescent="0.2">
      <c r="A67" s="3" t="s">
        <v>66</v>
      </c>
      <c r="B67" s="5">
        <f>12791.65</f>
        <v>12791.65</v>
      </c>
      <c r="C67" s="5">
        <f>29200</f>
        <v>29200</v>
      </c>
      <c r="D67" s="5">
        <f t="shared" si="4"/>
        <v>-16408.349999999999</v>
      </c>
      <c r="E67" s="6">
        <f t="shared" si="5"/>
        <v>0.43807020547945202</v>
      </c>
    </row>
    <row r="68" spans="1:5" x14ac:dyDescent="0.2">
      <c r="A68" s="3" t="s">
        <v>67</v>
      </c>
      <c r="B68" s="5">
        <f>640</f>
        <v>640</v>
      </c>
      <c r="C68" s="5">
        <f>2100</f>
        <v>2100</v>
      </c>
      <c r="D68" s="5">
        <f t="shared" si="4"/>
        <v>-1460</v>
      </c>
      <c r="E68" s="6">
        <f t="shared" si="5"/>
        <v>0.30476190476190479</v>
      </c>
    </row>
    <row r="69" spans="1:5" x14ac:dyDescent="0.2">
      <c r="A69" s="3" t="s">
        <v>68</v>
      </c>
      <c r="B69" s="5">
        <f>2083.3</f>
        <v>2083.3000000000002</v>
      </c>
      <c r="C69" s="5">
        <f>5000</f>
        <v>5000</v>
      </c>
      <c r="D69" s="5">
        <f t="shared" si="4"/>
        <v>-2916.7</v>
      </c>
      <c r="E69" s="6">
        <f t="shared" si="5"/>
        <v>0.41666000000000003</v>
      </c>
    </row>
    <row r="70" spans="1:5" x14ac:dyDescent="0.2">
      <c r="A70" s="3" t="s">
        <v>69</v>
      </c>
      <c r="B70" s="5">
        <f>2083.32</f>
        <v>2083.3200000000002</v>
      </c>
      <c r="C70" s="5">
        <f>5000</f>
        <v>5000</v>
      </c>
      <c r="D70" s="5">
        <f t="shared" si="4"/>
        <v>-2916.68</v>
      </c>
      <c r="E70" s="6">
        <f t="shared" si="5"/>
        <v>0.41666400000000003</v>
      </c>
    </row>
    <row r="71" spans="1:5" x14ac:dyDescent="0.2">
      <c r="A71" s="3" t="s">
        <v>70</v>
      </c>
      <c r="B71" s="5">
        <f>3062.52</f>
        <v>3062.52</v>
      </c>
      <c r="C71" s="5">
        <f>8750</f>
        <v>8750</v>
      </c>
      <c r="D71" s="5">
        <f t="shared" si="4"/>
        <v>-5687.48</v>
      </c>
      <c r="E71" s="6">
        <f t="shared" si="5"/>
        <v>0.35000228571428571</v>
      </c>
    </row>
    <row r="72" spans="1:5" x14ac:dyDescent="0.2">
      <c r="A72" s="3" t="s">
        <v>71</v>
      </c>
      <c r="B72" s="5">
        <f>4234.2</f>
        <v>4234.2</v>
      </c>
      <c r="C72" s="5">
        <f>7400</f>
        <v>7400</v>
      </c>
      <c r="D72" s="5">
        <f t="shared" si="4"/>
        <v>-3165.8</v>
      </c>
      <c r="E72" s="6">
        <f t="shared" si="5"/>
        <v>0.57218918918918915</v>
      </c>
    </row>
    <row r="73" spans="1:5" x14ac:dyDescent="0.2">
      <c r="A73" s="3" t="s">
        <v>72</v>
      </c>
      <c r="B73" s="5">
        <f>216</f>
        <v>216</v>
      </c>
      <c r="C73" s="4"/>
      <c r="D73" s="5">
        <f t="shared" si="4"/>
        <v>216</v>
      </c>
      <c r="E73" s="6" t="str">
        <f t="shared" si="5"/>
        <v/>
      </c>
    </row>
    <row r="74" spans="1:5" x14ac:dyDescent="0.2">
      <c r="A74" s="3" t="s">
        <v>73</v>
      </c>
      <c r="B74" s="5">
        <f>384</f>
        <v>384</v>
      </c>
      <c r="C74" s="5">
        <f>400</f>
        <v>400</v>
      </c>
      <c r="D74" s="5">
        <f t="shared" si="4"/>
        <v>-16</v>
      </c>
      <c r="E74" s="6">
        <f t="shared" si="5"/>
        <v>0.96</v>
      </c>
    </row>
    <row r="75" spans="1:5" x14ac:dyDescent="0.2">
      <c r="A75" s="3" t="s">
        <v>74</v>
      </c>
      <c r="B75" s="7">
        <f>(((((((((((B63)+(B64))+(B65))+(B66))+(B67))+(B68))+(B69))+(B70))+(B71))+(B72))+(B73))+(B74)</f>
        <v>31744.959999999999</v>
      </c>
      <c r="C75" s="7">
        <f>(((((((((((C63)+(C64))+(C65))+(C66))+(C67))+(C68))+(C69))+(C70))+(C71))+(C72))+(C73))+(C74)</f>
        <v>73100</v>
      </c>
      <c r="D75" s="7">
        <f t="shared" si="4"/>
        <v>-41355.040000000001</v>
      </c>
      <c r="E75" s="8">
        <f t="shared" si="5"/>
        <v>0.43426757865937071</v>
      </c>
    </row>
    <row r="76" spans="1:5" x14ac:dyDescent="0.2">
      <c r="A76" s="3" t="s">
        <v>75</v>
      </c>
      <c r="B76" s="4"/>
      <c r="C76" s="4"/>
      <c r="D76" s="5">
        <f t="shared" si="4"/>
        <v>0</v>
      </c>
      <c r="E76" s="6" t="str">
        <f t="shared" si="5"/>
        <v/>
      </c>
    </row>
    <row r="77" spans="1:5" x14ac:dyDescent="0.2">
      <c r="A77" s="3" t="s">
        <v>76</v>
      </c>
      <c r="B77" s="5">
        <f>-125</f>
        <v>-125</v>
      </c>
      <c r="C77" s="5">
        <f>10000</f>
        <v>10000</v>
      </c>
      <c r="D77" s="5">
        <f t="shared" si="4"/>
        <v>-10125</v>
      </c>
      <c r="E77" s="6">
        <f t="shared" si="5"/>
        <v>-1.2500000000000001E-2</v>
      </c>
    </row>
    <row r="78" spans="1:5" x14ac:dyDescent="0.2">
      <c r="A78" s="3" t="s">
        <v>77</v>
      </c>
      <c r="B78" s="4"/>
      <c r="C78" s="5">
        <f>1500</f>
        <v>1500</v>
      </c>
      <c r="D78" s="5">
        <f t="shared" si="4"/>
        <v>-1500</v>
      </c>
      <c r="E78" s="6">
        <f t="shared" si="5"/>
        <v>0</v>
      </c>
    </row>
    <row r="79" spans="1:5" x14ac:dyDescent="0.2">
      <c r="A79" s="3" t="s">
        <v>78</v>
      </c>
      <c r="B79" s="5">
        <f>6387.4</f>
        <v>6387.4</v>
      </c>
      <c r="C79" s="5">
        <f>37000</f>
        <v>37000</v>
      </c>
      <c r="D79" s="5">
        <f t="shared" si="4"/>
        <v>-30612.6</v>
      </c>
      <c r="E79" s="6">
        <f t="shared" si="5"/>
        <v>0.17263243243243243</v>
      </c>
    </row>
    <row r="80" spans="1:5" x14ac:dyDescent="0.2">
      <c r="A80" s="3" t="s">
        <v>79</v>
      </c>
      <c r="B80" s="5">
        <f>54000</f>
        <v>54000</v>
      </c>
      <c r="C80" s="4"/>
      <c r="D80" s="5">
        <f t="shared" si="4"/>
        <v>54000</v>
      </c>
      <c r="E80" s="6" t="str">
        <f t="shared" si="5"/>
        <v/>
      </c>
    </row>
    <row r="81" spans="1:5" x14ac:dyDescent="0.2">
      <c r="A81" s="3" t="s">
        <v>80</v>
      </c>
      <c r="B81" s="4"/>
      <c r="C81" s="5">
        <f>2000</f>
        <v>2000</v>
      </c>
      <c r="D81" s="5">
        <f t="shared" si="4"/>
        <v>-2000</v>
      </c>
      <c r="E81" s="6">
        <f t="shared" si="5"/>
        <v>0</v>
      </c>
    </row>
    <row r="82" spans="1:5" x14ac:dyDescent="0.2">
      <c r="A82" s="3" t="s">
        <v>81</v>
      </c>
      <c r="B82" s="4"/>
      <c r="C82" s="5">
        <f>1500</f>
        <v>1500</v>
      </c>
      <c r="D82" s="5">
        <f t="shared" si="4"/>
        <v>-1500</v>
      </c>
      <c r="E82" s="6">
        <f t="shared" si="5"/>
        <v>0</v>
      </c>
    </row>
    <row r="83" spans="1:5" x14ac:dyDescent="0.2">
      <c r="A83" s="3" t="s">
        <v>82</v>
      </c>
      <c r="B83" s="5">
        <f>140</f>
        <v>140</v>
      </c>
      <c r="C83" s="5">
        <f>420</f>
        <v>420</v>
      </c>
      <c r="D83" s="5">
        <f t="shared" si="4"/>
        <v>-280</v>
      </c>
      <c r="E83" s="6">
        <f t="shared" si="5"/>
        <v>0.33333333333333331</v>
      </c>
    </row>
    <row r="84" spans="1:5" x14ac:dyDescent="0.2">
      <c r="A84" s="3" t="s">
        <v>83</v>
      </c>
      <c r="B84" s="5">
        <f>5000</f>
        <v>5000</v>
      </c>
      <c r="C84" s="5">
        <f>5054</f>
        <v>5054</v>
      </c>
      <c r="D84" s="5">
        <f t="shared" si="4"/>
        <v>-54</v>
      </c>
      <c r="E84" s="6">
        <f t="shared" si="5"/>
        <v>0.98931539374752675</v>
      </c>
    </row>
    <row r="85" spans="1:5" x14ac:dyDescent="0.2">
      <c r="A85" s="3" t="s">
        <v>84</v>
      </c>
      <c r="B85" s="7">
        <f>((((((((B76)+(B77))+(B78))+(B79))+(B80))+(B81))+(B82))+(B83))+(B84)</f>
        <v>65402.400000000001</v>
      </c>
      <c r="C85" s="7">
        <f>((((((((C76)+(C77))+(C78))+(C79))+(C80))+(C81))+(C82))+(C83))+(C84)</f>
        <v>57474</v>
      </c>
      <c r="D85" s="7">
        <f t="shared" si="4"/>
        <v>7928.4000000000015</v>
      </c>
      <c r="E85" s="8">
        <f t="shared" si="5"/>
        <v>1.1379475936945402</v>
      </c>
    </row>
    <row r="86" spans="1:5" x14ac:dyDescent="0.2">
      <c r="A86" s="3" t="s">
        <v>85</v>
      </c>
      <c r="B86" s="4"/>
      <c r="C86" s="4"/>
      <c r="D86" s="5">
        <f t="shared" si="4"/>
        <v>0</v>
      </c>
      <c r="E86" s="6" t="str">
        <f t="shared" si="5"/>
        <v/>
      </c>
    </row>
    <row r="87" spans="1:5" x14ac:dyDescent="0.2">
      <c r="A87" s="3" t="s">
        <v>86</v>
      </c>
      <c r="B87" s="5">
        <f>34616.51</f>
        <v>34616.51</v>
      </c>
      <c r="C87" s="5">
        <f>64600</f>
        <v>64600</v>
      </c>
      <c r="D87" s="5">
        <f t="shared" si="4"/>
        <v>-29983.489999999998</v>
      </c>
      <c r="E87" s="6">
        <f t="shared" si="5"/>
        <v>0.53585928792569659</v>
      </c>
    </row>
    <row r="88" spans="1:5" x14ac:dyDescent="0.2">
      <c r="A88" s="3" t="s">
        <v>87</v>
      </c>
      <c r="B88" s="4"/>
      <c r="C88" s="5">
        <f>3250</f>
        <v>3250</v>
      </c>
      <c r="D88" s="5">
        <f t="shared" si="4"/>
        <v>-3250</v>
      </c>
      <c r="E88" s="6">
        <f t="shared" si="5"/>
        <v>0</v>
      </c>
    </row>
    <row r="89" spans="1:5" x14ac:dyDescent="0.2">
      <c r="A89" s="3" t="s">
        <v>88</v>
      </c>
      <c r="B89" s="5">
        <f>72000</f>
        <v>72000</v>
      </c>
      <c r="C89" s="5">
        <f>72000</f>
        <v>72000</v>
      </c>
      <c r="D89" s="5">
        <f t="shared" si="4"/>
        <v>0</v>
      </c>
      <c r="E89" s="6">
        <f t="shared" si="5"/>
        <v>1</v>
      </c>
    </row>
    <row r="90" spans="1:5" x14ac:dyDescent="0.2">
      <c r="A90" s="3" t="s">
        <v>89</v>
      </c>
      <c r="B90" s="4"/>
      <c r="C90" s="5">
        <f>3800</f>
        <v>3800</v>
      </c>
      <c r="D90" s="5">
        <f t="shared" si="4"/>
        <v>-3800</v>
      </c>
      <c r="E90" s="6">
        <f t="shared" si="5"/>
        <v>0</v>
      </c>
    </row>
    <row r="91" spans="1:5" x14ac:dyDescent="0.2">
      <c r="A91" s="3" t="s">
        <v>90</v>
      </c>
      <c r="B91" s="4"/>
      <c r="C91" s="5">
        <f>92</f>
        <v>92</v>
      </c>
      <c r="D91" s="5">
        <f t="shared" si="4"/>
        <v>-92</v>
      </c>
      <c r="E91" s="6">
        <f t="shared" si="5"/>
        <v>0</v>
      </c>
    </row>
    <row r="92" spans="1:5" x14ac:dyDescent="0.2">
      <c r="A92" s="3" t="s">
        <v>91</v>
      </c>
      <c r="B92" s="7">
        <f>(((((B86)+(B87))+(B88))+(B89))+(B90))+(B91)</f>
        <v>106616.51000000001</v>
      </c>
      <c r="C92" s="7">
        <f>(((((C86)+(C87))+(C88))+(C89))+(C90))+(C91)</f>
        <v>143742</v>
      </c>
      <c r="D92" s="7">
        <f t="shared" si="4"/>
        <v>-37125.489999999991</v>
      </c>
      <c r="E92" s="8">
        <f t="shared" si="5"/>
        <v>0.74172134797066969</v>
      </c>
    </row>
    <row r="93" spans="1:5" x14ac:dyDescent="0.2">
      <c r="A93" s="3" t="s">
        <v>92</v>
      </c>
      <c r="B93" s="4"/>
      <c r="C93" s="4"/>
      <c r="D93" s="5">
        <f t="shared" si="4"/>
        <v>0</v>
      </c>
      <c r="E93" s="6" t="str">
        <f t="shared" si="5"/>
        <v/>
      </c>
    </row>
    <row r="94" spans="1:5" x14ac:dyDescent="0.2">
      <c r="A94" s="3" t="s">
        <v>93</v>
      </c>
      <c r="B94" s="5">
        <f>1000</f>
        <v>1000</v>
      </c>
      <c r="C94" s="5">
        <f>1000</f>
        <v>1000</v>
      </c>
      <c r="D94" s="5">
        <f t="shared" si="4"/>
        <v>0</v>
      </c>
      <c r="E94" s="6">
        <f t="shared" si="5"/>
        <v>1</v>
      </c>
    </row>
    <row r="95" spans="1:5" x14ac:dyDescent="0.2">
      <c r="A95" s="3" t="s">
        <v>94</v>
      </c>
      <c r="B95" s="7">
        <f>(B93)+(B94)</f>
        <v>1000</v>
      </c>
      <c r="C95" s="7">
        <f>(C93)+(C94)</f>
        <v>1000</v>
      </c>
      <c r="D95" s="7">
        <f t="shared" si="4"/>
        <v>0</v>
      </c>
      <c r="E95" s="8">
        <f t="shared" si="5"/>
        <v>1</v>
      </c>
    </row>
    <row r="96" spans="1:5" x14ac:dyDescent="0.2">
      <c r="A96" s="3" t="s">
        <v>95</v>
      </c>
      <c r="B96" s="4"/>
      <c r="C96" s="5">
        <f>250</f>
        <v>250</v>
      </c>
      <c r="D96" s="5">
        <f t="shared" si="4"/>
        <v>-250</v>
      </c>
      <c r="E96" s="6">
        <f t="shared" si="5"/>
        <v>0</v>
      </c>
    </row>
    <row r="97" spans="1:5" x14ac:dyDescent="0.2">
      <c r="A97" s="3" t="s">
        <v>96</v>
      </c>
      <c r="B97" s="4"/>
      <c r="C97" s="4"/>
      <c r="D97" s="5">
        <f t="shared" si="4"/>
        <v>0</v>
      </c>
      <c r="E97" s="6" t="str">
        <f t="shared" si="5"/>
        <v/>
      </c>
    </row>
    <row r="98" spans="1:5" x14ac:dyDescent="0.2">
      <c r="A98" s="3" t="s">
        <v>97</v>
      </c>
      <c r="B98" s="4"/>
      <c r="C98" s="5">
        <f>260</f>
        <v>260</v>
      </c>
      <c r="D98" s="5">
        <f t="shared" ref="D98:D104" si="6">(B98)-(C98)</f>
        <v>-260</v>
      </c>
      <c r="E98" s="6">
        <f t="shared" ref="E98:E104" si="7">IF(C98=0,"",(B98)/(C98))</f>
        <v>0</v>
      </c>
    </row>
    <row r="99" spans="1:5" x14ac:dyDescent="0.2">
      <c r="A99" s="3" t="s">
        <v>98</v>
      </c>
      <c r="B99" s="5">
        <f>5562</f>
        <v>5562</v>
      </c>
      <c r="C99" s="5">
        <f>51820</f>
        <v>51820</v>
      </c>
      <c r="D99" s="5">
        <f t="shared" si="6"/>
        <v>-46258</v>
      </c>
      <c r="E99" s="6">
        <f t="shared" si="7"/>
        <v>0.10733307603241991</v>
      </c>
    </row>
    <row r="100" spans="1:5" x14ac:dyDescent="0.2">
      <c r="A100" s="3" t="s">
        <v>99</v>
      </c>
      <c r="B100" s="7">
        <f>((B97)+(B98))+(B99)</f>
        <v>5562</v>
      </c>
      <c r="C100" s="7">
        <f>((C97)+(C98))+(C99)</f>
        <v>52080</v>
      </c>
      <c r="D100" s="7">
        <f t="shared" si="6"/>
        <v>-46518</v>
      </c>
      <c r="E100" s="8">
        <f t="shared" si="7"/>
        <v>0.10679723502304148</v>
      </c>
    </row>
    <row r="101" spans="1:5" x14ac:dyDescent="0.2">
      <c r="A101" s="3" t="s">
        <v>100</v>
      </c>
      <c r="B101" s="4"/>
      <c r="C101" s="5">
        <f>2500</f>
        <v>2500</v>
      </c>
      <c r="D101" s="5">
        <f t="shared" si="6"/>
        <v>-2500</v>
      </c>
      <c r="E101" s="6">
        <f t="shared" si="7"/>
        <v>0</v>
      </c>
    </row>
    <row r="102" spans="1:5" x14ac:dyDescent="0.2">
      <c r="A102" s="3" t="s">
        <v>101</v>
      </c>
      <c r="B102" s="7">
        <f>((((((((((B49)+(B52))+(B57))+(B62))+(B75))+(B85))+(B92))+(B95))+(B96))+(B100))+(B101)</f>
        <v>326437.44999999995</v>
      </c>
      <c r="C102" s="7">
        <f>((((((((((C49)+(C52))+(C57))+(C62))+(C75))+(C85))+(C92))+(C95))+(C96))+(C100))+(C101)</f>
        <v>604071</v>
      </c>
      <c r="D102" s="7">
        <f t="shared" si="6"/>
        <v>-277633.55000000005</v>
      </c>
      <c r="E102" s="8">
        <f t="shared" si="7"/>
        <v>0.54039583095364607</v>
      </c>
    </row>
    <row r="103" spans="1:5" x14ac:dyDescent="0.2">
      <c r="A103" s="3" t="s">
        <v>102</v>
      </c>
      <c r="B103" s="7">
        <f>(B32)-(B102)</f>
        <v>76879.890000000072</v>
      </c>
      <c r="C103" s="7">
        <f>(C32)-(C102)</f>
        <v>69921</v>
      </c>
      <c r="D103" s="7">
        <f t="shared" si="6"/>
        <v>6958.8900000000722</v>
      </c>
      <c r="E103" s="8">
        <f t="shared" si="7"/>
        <v>1.099525035397092</v>
      </c>
    </row>
    <row r="104" spans="1:5" x14ac:dyDescent="0.2">
      <c r="A104" s="3" t="s">
        <v>103</v>
      </c>
      <c r="B104" s="9">
        <f>(B103)+(0)</f>
        <v>76879.890000000072</v>
      </c>
      <c r="C104" s="9">
        <f>(C103)+(0)</f>
        <v>69921</v>
      </c>
      <c r="D104" s="9">
        <f t="shared" si="6"/>
        <v>6958.8900000000722</v>
      </c>
      <c r="E104" s="10">
        <f t="shared" si="7"/>
        <v>1.099525035397092</v>
      </c>
    </row>
    <row r="105" spans="1:5" x14ac:dyDescent="0.2">
      <c r="A105" s="3"/>
      <c r="B105" s="4"/>
      <c r="C105" s="4"/>
      <c r="D105" s="4"/>
      <c r="E105" s="4"/>
    </row>
    <row r="108" spans="1:5" x14ac:dyDescent="0.2">
      <c r="A108" s="13" t="s">
        <v>104</v>
      </c>
      <c r="B108" s="14"/>
      <c r="C108" s="14"/>
      <c r="D108" s="14"/>
      <c r="E108" s="14"/>
    </row>
  </sheetData>
  <mergeCells count="5">
    <mergeCell ref="B5:E5"/>
    <mergeCell ref="A108:E108"/>
    <mergeCell ref="A1:E1"/>
    <mergeCell ref="A2:E2"/>
    <mergeCell ref="A3:E3"/>
  </mergeCell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A6C44-3943-4C91-A1B2-91F4AD7A2F91}">
  <dimension ref="A1:C59"/>
  <sheetViews>
    <sheetView workbookViewId="0">
      <selection activeCell="G24" sqref="G24"/>
    </sheetView>
  </sheetViews>
  <sheetFormatPr baseColWidth="10" defaultColWidth="8.83203125" defaultRowHeight="15" x14ac:dyDescent="0.2"/>
  <cols>
    <col min="1" max="1" width="37" customWidth="1"/>
    <col min="2" max="3" width="24.83203125" customWidth="1"/>
  </cols>
  <sheetData>
    <row r="1" spans="1:3" ht="18" x14ac:dyDescent="0.2">
      <c r="A1" s="15" t="s">
        <v>105</v>
      </c>
      <c r="B1" s="14"/>
      <c r="C1" s="14"/>
    </row>
    <row r="2" spans="1:3" ht="18" x14ac:dyDescent="0.2">
      <c r="A2" s="15" t="s">
        <v>182</v>
      </c>
      <c r="B2" s="14"/>
      <c r="C2" s="14"/>
    </row>
    <row r="3" spans="1:3" x14ac:dyDescent="0.2">
      <c r="A3" s="16" t="s">
        <v>181</v>
      </c>
      <c r="B3" s="14"/>
      <c r="C3" s="14"/>
    </row>
    <row r="5" spans="1:3" x14ac:dyDescent="0.2">
      <c r="A5" s="1"/>
      <c r="B5" s="2" t="s">
        <v>0</v>
      </c>
      <c r="C5" s="2" t="s">
        <v>1</v>
      </c>
    </row>
    <row r="6" spans="1:3" x14ac:dyDescent="0.2">
      <c r="A6" s="3" t="s">
        <v>6</v>
      </c>
      <c r="B6" s="4"/>
      <c r="C6" s="4"/>
    </row>
    <row r="7" spans="1:3" x14ac:dyDescent="0.2">
      <c r="A7" s="3" t="s">
        <v>7</v>
      </c>
      <c r="B7" s="4"/>
      <c r="C7" s="5">
        <f t="shared" ref="C7:C17" si="0">B7</f>
        <v>0</v>
      </c>
    </row>
    <row r="8" spans="1:3" x14ac:dyDescent="0.2">
      <c r="A8" s="3" t="s">
        <v>9</v>
      </c>
      <c r="B8" s="5">
        <f>1125</f>
        <v>1125</v>
      </c>
      <c r="C8" s="5">
        <f t="shared" si="0"/>
        <v>1125</v>
      </c>
    </row>
    <row r="9" spans="1:3" x14ac:dyDescent="0.2">
      <c r="A9" s="3" t="s">
        <v>14</v>
      </c>
      <c r="B9" s="9">
        <f>(B7)+(B8)</f>
        <v>1125</v>
      </c>
      <c r="C9" s="9">
        <f t="shared" si="0"/>
        <v>1125</v>
      </c>
    </row>
    <row r="10" spans="1:3" x14ac:dyDescent="0.2">
      <c r="A10" s="3" t="s">
        <v>15</v>
      </c>
      <c r="B10" s="4"/>
      <c r="C10" s="5">
        <f t="shared" si="0"/>
        <v>0</v>
      </c>
    </row>
    <row r="11" spans="1:3" x14ac:dyDescent="0.2">
      <c r="A11" s="3" t="s">
        <v>16</v>
      </c>
      <c r="B11" s="5">
        <f>-125</f>
        <v>-125</v>
      </c>
      <c r="C11" s="5">
        <f t="shared" si="0"/>
        <v>-125</v>
      </c>
    </row>
    <row r="12" spans="1:3" x14ac:dyDescent="0.2">
      <c r="A12" s="3" t="s">
        <v>17</v>
      </c>
      <c r="B12" s="9">
        <f>(B10)+(B11)</f>
        <v>-125</v>
      </c>
      <c r="C12" s="9">
        <f t="shared" si="0"/>
        <v>-125</v>
      </c>
    </row>
    <row r="13" spans="1:3" x14ac:dyDescent="0.2">
      <c r="A13" s="3" t="s">
        <v>25</v>
      </c>
      <c r="B13" s="4"/>
      <c r="C13" s="5">
        <f t="shared" si="0"/>
        <v>0</v>
      </c>
    </row>
    <row r="14" spans="1:3" x14ac:dyDescent="0.2">
      <c r="A14" s="3" t="s">
        <v>27</v>
      </c>
      <c r="B14" s="5">
        <f>700</f>
        <v>700</v>
      </c>
      <c r="C14" s="5">
        <f t="shared" si="0"/>
        <v>700</v>
      </c>
    </row>
    <row r="15" spans="1:3" x14ac:dyDescent="0.2">
      <c r="A15" s="3" t="s">
        <v>28</v>
      </c>
      <c r="B15" s="9">
        <f>(B13)+(B14)</f>
        <v>700</v>
      </c>
      <c r="C15" s="9">
        <f t="shared" si="0"/>
        <v>700</v>
      </c>
    </row>
    <row r="16" spans="1:3" x14ac:dyDescent="0.2">
      <c r="A16" s="3" t="s">
        <v>30</v>
      </c>
      <c r="B16" s="9">
        <f>((B9)+(B12))+(B15)</f>
        <v>1700</v>
      </c>
      <c r="C16" s="9">
        <f t="shared" si="0"/>
        <v>1700</v>
      </c>
    </row>
    <row r="17" spans="1:3" x14ac:dyDescent="0.2">
      <c r="A17" s="3" t="s">
        <v>31</v>
      </c>
      <c r="B17" s="9">
        <f>(B16)-(0)</f>
        <v>1700</v>
      </c>
      <c r="C17" s="9">
        <f t="shared" si="0"/>
        <v>1700</v>
      </c>
    </row>
    <row r="18" spans="1:3" x14ac:dyDescent="0.2">
      <c r="A18" s="3" t="s">
        <v>32</v>
      </c>
      <c r="B18" s="4"/>
      <c r="C18" s="4"/>
    </row>
    <row r="19" spans="1:3" x14ac:dyDescent="0.2">
      <c r="A19" s="3" t="s">
        <v>33</v>
      </c>
      <c r="B19" s="4"/>
      <c r="C19" s="5">
        <f t="shared" ref="C19:C55" si="1">B19</f>
        <v>0</v>
      </c>
    </row>
    <row r="20" spans="1:3" x14ac:dyDescent="0.2">
      <c r="A20" s="3" t="s">
        <v>34</v>
      </c>
      <c r="B20" s="5">
        <f>5500</f>
        <v>5500</v>
      </c>
      <c r="C20" s="5">
        <f t="shared" si="1"/>
        <v>5500</v>
      </c>
    </row>
    <row r="21" spans="1:3" x14ac:dyDescent="0.2">
      <c r="A21" s="3" t="s">
        <v>37</v>
      </c>
      <c r="B21" s="5">
        <f>-304.29</f>
        <v>-304.29000000000002</v>
      </c>
      <c r="C21" s="5">
        <f t="shared" si="1"/>
        <v>-304.29000000000002</v>
      </c>
    </row>
    <row r="22" spans="1:3" x14ac:dyDescent="0.2">
      <c r="A22" s="3" t="s">
        <v>39</v>
      </c>
      <c r="B22" s="5">
        <f>100</f>
        <v>100</v>
      </c>
      <c r="C22" s="5">
        <f t="shared" si="1"/>
        <v>100</v>
      </c>
    </row>
    <row r="23" spans="1:3" x14ac:dyDescent="0.2">
      <c r="A23" s="3" t="s">
        <v>40</v>
      </c>
      <c r="B23" s="5">
        <f>119.88</f>
        <v>119.88</v>
      </c>
      <c r="C23" s="5">
        <f t="shared" si="1"/>
        <v>119.88</v>
      </c>
    </row>
    <row r="24" spans="1:3" x14ac:dyDescent="0.2">
      <c r="A24" s="3" t="s">
        <v>43</v>
      </c>
      <c r="B24" s="5">
        <f>175</f>
        <v>175</v>
      </c>
      <c r="C24" s="5">
        <f t="shared" si="1"/>
        <v>175</v>
      </c>
    </row>
    <row r="25" spans="1:3" x14ac:dyDescent="0.2">
      <c r="A25" s="3" t="s">
        <v>44</v>
      </c>
      <c r="B25" s="5">
        <f>60.28</f>
        <v>60.28</v>
      </c>
      <c r="C25" s="5">
        <f t="shared" si="1"/>
        <v>60.28</v>
      </c>
    </row>
    <row r="26" spans="1:3" x14ac:dyDescent="0.2">
      <c r="A26" s="3" t="s">
        <v>45</v>
      </c>
      <c r="B26" s="5">
        <f>2250</f>
        <v>2250</v>
      </c>
      <c r="C26" s="5">
        <f t="shared" si="1"/>
        <v>2250</v>
      </c>
    </row>
    <row r="27" spans="1:3" x14ac:dyDescent="0.2">
      <c r="A27" s="3" t="s">
        <v>46</v>
      </c>
      <c r="B27" s="5">
        <f>3041.66</f>
        <v>3041.66</v>
      </c>
      <c r="C27" s="5">
        <f t="shared" si="1"/>
        <v>3041.66</v>
      </c>
    </row>
    <row r="28" spans="1:3" x14ac:dyDescent="0.2">
      <c r="A28" s="3" t="s">
        <v>47</v>
      </c>
      <c r="B28" s="5">
        <f>11</f>
        <v>11</v>
      </c>
      <c r="C28" s="5">
        <f t="shared" si="1"/>
        <v>11</v>
      </c>
    </row>
    <row r="29" spans="1:3" x14ac:dyDescent="0.2">
      <c r="A29" s="3" t="s">
        <v>48</v>
      </c>
      <c r="B29" s="9">
        <f>(((((((((B19)+(B20))+(B21))+(B22))+(B23))+(B24))+(B25))+(B26))+(B27))+(B28)</f>
        <v>10953.529999999999</v>
      </c>
      <c r="C29" s="9">
        <f t="shared" si="1"/>
        <v>10953.529999999999</v>
      </c>
    </row>
    <row r="30" spans="1:3" x14ac:dyDescent="0.2">
      <c r="A30" s="3" t="s">
        <v>52</v>
      </c>
      <c r="B30" s="4"/>
      <c r="C30" s="5">
        <f t="shared" si="1"/>
        <v>0</v>
      </c>
    </row>
    <row r="31" spans="1:3" x14ac:dyDescent="0.2">
      <c r="A31" s="3" t="s">
        <v>53</v>
      </c>
      <c r="B31" s="5">
        <f>8000</f>
        <v>8000</v>
      </c>
      <c r="C31" s="5">
        <f t="shared" si="1"/>
        <v>8000</v>
      </c>
    </row>
    <row r="32" spans="1:3" x14ac:dyDescent="0.2">
      <c r="A32" s="3" t="s">
        <v>56</v>
      </c>
      <c r="B32" s="9">
        <f>(B30)+(B31)</f>
        <v>8000</v>
      </c>
      <c r="C32" s="9">
        <f t="shared" si="1"/>
        <v>8000</v>
      </c>
    </row>
    <row r="33" spans="1:3" x14ac:dyDescent="0.2">
      <c r="A33" s="3" t="s">
        <v>57</v>
      </c>
      <c r="B33" s="4"/>
      <c r="C33" s="5">
        <f t="shared" si="1"/>
        <v>0</v>
      </c>
    </row>
    <row r="34" spans="1:3" x14ac:dyDescent="0.2">
      <c r="A34" s="3" t="s">
        <v>59</v>
      </c>
      <c r="B34" s="5">
        <f>83.33</f>
        <v>83.33</v>
      </c>
      <c r="C34" s="5">
        <f t="shared" si="1"/>
        <v>83.33</v>
      </c>
    </row>
    <row r="35" spans="1:3" x14ac:dyDescent="0.2">
      <c r="A35" s="3" t="s">
        <v>61</v>
      </c>
      <c r="B35" s="9">
        <f>(B33)+(B34)</f>
        <v>83.33</v>
      </c>
      <c r="C35" s="9">
        <f t="shared" si="1"/>
        <v>83.33</v>
      </c>
    </row>
    <row r="36" spans="1:3" x14ac:dyDescent="0.2">
      <c r="A36" s="3" t="s">
        <v>62</v>
      </c>
      <c r="B36" s="4"/>
      <c r="C36" s="5">
        <f t="shared" si="1"/>
        <v>0</v>
      </c>
    </row>
    <row r="37" spans="1:3" x14ac:dyDescent="0.2">
      <c r="A37" s="3" t="s">
        <v>64</v>
      </c>
      <c r="B37" s="5">
        <f>833.32</f>
        <v>833.32</v>
      </c>
      <c r="C37" s="5">
        <f t="shared" si="1"/>
        <v>833.32</v>
      </c>
    </row>
    <row r="38" spans="1:3" x14ac:dyDescent="0.2">
      <c r="A38" s="3" t="s">
        <v>65</v>
      </c>
      <c r="B38" s="5">
        <f>416.67</f>
        <v>416.67</v>
      </c>
      <c r="C38" s="5">
        <f t="shared" si="1"/>
        <v>416.67</v>
      </c>
    </row>
    <row r="39" spans="1:3" x14ac:dyDescent="0.2">
      <c r="A39" s="3" t="s">
        <v>66</v>
      </c>
      <c r="B39" s="5">
        <f>2558.33</f>
        <v>2558.33</v>
      </c>
      <c r="C39" s="5">
        <f t="shared" si="1"/>
        <v>2558.33</v>
      </c>
    </row>
    <row r="40" spans="1:3" x14ac:dyDescent="0.2">
      <c r="A40" s="3" t="s">
        <v>67</v>
      </c>
      <c r="B40" s="5">
        <f>220</f>
        <v>220</v>
      </c>
      <c r="C40" s="5">
        <f t="shared" si="1"/>
        <v>220</v>
      </c>
    </row>
    <row r="41" spans="1:3" x14ac:dyDescent="0.2">
      <c r="A41" s="3" t="s">
        <v>68</v>
      </c>
      <c r="B41" s="5">
        <f>416.66</f>
        <v>416.66</v>
      </c>
      <c r="C41" s="5">
        <f t="shared" si="1"/>
        <v>416.66</v>
      </c>
    </row>
    <row r="42" spans="1:3" x14ac:dyDescent="0.2">
      <c r="A42" s="3" t="s">
        <v>69</v>
      </c>
      <c r="B42" s="5">
        <f>416.66</f>
        <v>416.66</v>
      </c>
      <c r="C42" s="5">
        <f t="shared" si="1"/>
        <v>416.66</v>
      </c>
    </row>
    <row r="43" spans="1:3" x14ac:dyDescent="0.2">
      <c r="A43" s="3" t="s">
        <v>70</v>
      </c>
      <c r="B43" s="5">
        <f>583.34</f>
        <v>583.34</v>
      </c>
      <c r="C43" s="5">
        <f t="shared" si="1"/>
        <v>583.34</v>
      </c>
    </row>
    <row r="44" spans="1:3" x14ac:dyDescent="0.2">
      <c r="A44" s="3" t="s">
        <v>71</v>
      </c>
      <c r="B44" s="5">
        <f>652</f>
        <v>652</v>
      </c>
      <c r="C44" s="5">
        <f t="shared" si="1"/>
        <v>652</v>
      </c>
    </row>
    <row r="45" spans="1:3" x14ac:dyDescent="0.2">
      <c r="A45" s="3" t="s">
        <v>73</v>
      </c>
      <c r="B45" s="5">
        <f>384</f>
        <v>384</v>
      </c>
      <c r="C45" s="5">
        <f t="shared" si="1"/>
        <v>384</v>
      </c>
    </row>
    <row r="46" spans="1:3" x14ac:dyDescent="0.2">
      <c r="A46" s="3" t="s">
        <v>74</v>
      </c>
      <c r="B46" s="9">
        <f>(((((((((B36)+(B37))+(B38))+(B39))+(B40))+(B41))+(B42))+(B43))+(B44))+(B45)</f>
        <v>6480.98</v>
      </c>
      <c r="C46" s="9">
        <f t="shared" si="1"/>
        <v>6480.98</v>
      </c>
    </row>
    <row r="47" spans="1:3" x14ac:dyDescent="0.2">
      <c r="A47" s="3" t="s">
        <v>85</v>
      </c>
      <c r="B47" s="4"/>
      <c r="C47" s="5">
        <f t="shared" si="1"/>
        <v>0</v>
      </c>
    </row>
    <row r="48" spans="1:3" x14ac:dyDescent="0.2">
      <c r="A48" s="3" t="s">
        <v>86</v>
      </c>
      <c r="B48" s="5">
        <f>18389.04</f>
        <v>18389.04</v>
      </c>
      <c r="C48" s="5">
        <f t="shared" si="1"/>
        <v>18389.04</v>
      </c>
    </row>
    <row r="49" spans="1:3" x14ac:dyDescent="0.2">
      <c r="A49" s="3" t="s">
        <v>91</v>
      </c>
      <c r="B49" s="9">
        <f>(B47)+(B48)</f>
        <v>18389.04</v>
      </c>
      <c r="C49" s="9">
        <f t="shared" si="1"/>
        <v>18389.04</v>
      </c>
    </row>
    <row r="50" spans="1:3" x14ac:dyDescent="0.2">
      <c r="A50" s="3" t="s">
        <v>96</v>
      </c>
      <c r="B50" s="4"/>
      <c r="C50" s="5">
        <f t="shared" si="1"/>
        <v>0</v>
      </c>
    </row>
    <row r="51" spans="1:3" x14ac:dyDescent="0.2">
      <c r="A51" s="3" t="s">
        <v>98</v>
      </c>
      <c r="B51" s="5">
        <f>3096</f>
        <v>3096</v>
      </c>
      <c r="C51" s="5">
        <f t="shared" si="1"/>
        <v>3096</v>
      </c>
    </row>
    <row r="52" spans="1:3" x14ac:dyDescent="0.2">
      <c r="A52" s="3" t="s">
        <v>99</v>
      </c>
      <c r="B52" s="9">
        <f>(B50)+(B51)</f>
        <v>3096</v>
      </c>
      <c r="C52" s="9">
        <f t="shared" si="1"/>
        <v>3096</v>
      </c>
    </row>
    <row r="53" spans="1:3" x14ac:dyDescent="0.2">
      <c r="A53" s="3" t="s">
        <v>101</v>
      </c>
      <c r="B53" s="9">
        <f>(((((B29)+(B32))+(B35))+(B46))+(B49))+(B52)</f>
        <v>47002.880000000005</v>
      </c>
      <c r="C53" s="9">
        <f t="shared" si="1"/>
        <v>47002.880000000005</v>
      </c>
    </row>
    <row r="54" spans="1:3" x14ac:dyDescent="0.2">
      <c r="A54" s="3" t="s">
        <v>102</v>
      </c>
      <c r="B54" s="9">
        <f>(B17)-(B53)</f>
        <v>-45302.880000000005</v>
      </c>
      <c r="C54" s="9">
        <f t="shared" si="1"/>
        <v>-45302.880000000005</v>
      </c>
    </row>
    <row r="55" spans="1:3" x14ac:dyDescent="0.2">
      <c r="A55" s="3" t="s">
        <v>103</v>
      </c>
      <c r="B55" s="9">
        <f>(B54)+(0)</f>
        <v>-45302.880000000005</v>
      </c>
      <c r="C55" s="9">
        <f t="shared" si="1"/>
        <v>-45302.880000000005</v>
      </c>
    </row>
    <row r="56" spans="1:3" x14ac:dyDescent="0.2">
      <c r="A56" s="3"/>
      <c r="B56" s="4"/>
      <c r="C56" s="4"/>
    </row>
    <row r="59" spans="1:3" x14ac:dyDescent="0.2">
      <c r="A59" s="13" t="s">
        <v>180</v>
      </c>
      <c r="B59" s="14"/>
      <c r="C59" s="14"/>
    </row>
  </sheetData>
  <mergeCells count="4">
    <mergeCell ref="A59:C59"/>
    <mergeCell ref="A1:C1"/>
    <mergeCell ref="A2:C2"/>
    <mergeCell ref="A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425D5-7D5A-45B9-B3F8-9DF741A503C0}">
  <dimension ref="A1:B77"/>
  <sheetViews>
    <sheetView workbookViewId="0">
      <selection sqref="A1:B1"/>
    </sheetView>
  </sheetViews>
  <sheetFormatPr baseColWidth="10" defaultColWidth="8.83203125" defaultRowHeight="15" x14ac:dyDescent="0.2"/>
  <cols>
    <col min="1" max="1" width="45.5" customWidth="1"/>
    <col min="2" max="2" width="37.83203125" customWidth="1"/>
  </cols>
  <sheetData>
    <row r="1" spans="1:2" ht="18" x14ac:dyDescent="0.2">
      <c r="A1" s="15" t="s">
        <v>105</v>
      </c>
      <c r="B1" s="14"/>
    </row>
    <row r="2" spans="1:2" ht="18" x14ac:dyDescent="0.2">
      <c r="A2" s="15" t="s">
        <v>179</v>
      </c>
      <c r="B2" s="14"/>
    </row>
    <row r="3" spans="1:2" x14ac:dyDescent="0.2">
      <c r="A3" s="16" t="s">
        <v>178</v>
      </c>
      <c r="B3" s="14"/>
    </row>
    <row r="5" spans="1:2" x14ac:dyDescent="0.2">
      <c r="A5" s="1"/>
      <c r="B5" s="2" t="s">
        <v>177</v>
      </c>
    </row>
    <row r="6" spans="1:2" x14ac:dyDescent="0.2">
      <c r="A6" s="3" t="s">
        <v>176</v>
      </c>
      <c r="B6" s="4"/>
    </row>
    <row r="7" spans="1:2" x14ac:dyDescent="0.2">
      <c r="A7" s="3" t="s">
        <v>175</v>
      </c>
      <c r="B7" s="4"/>
    </row>
    <row r="8" spans="1:2" x14ac:dyDescent="0.2">
      <c r="A8" s="3" t="s">
        <v>174</v>
      </c>
      <c r="B8" s="4"/>
    </row>
    <row r="9" spans="1:2" x14ac:dyDescent="0.2">
      <c r="A9" s="3" t="s">
        <v>173</v>
      </c>
      <c r="B9" s="5">
        <f>341923.95</f>
        <v>341923.95</v>
      </c>
    </row>
    <row r="10" spans="1:2" x14ac:dyDescent="0.2">
      <c r="A10" s="3" t="s">
        <v>172</v>
      </c>
      <c r="B10" s="5">
        <f>44172.17</f>
        <v>44172.17</v>
      </c>
    </row>
    <row r="11" spans="1:2" x14ac:dyDescent="0.2">
      <c r="A11" s="3" t="s">
        <v>171</v>
      </c>
      <c r="B11" s="5">
        <f>86424.34</f>
        <v>86424.34</v>
      </c>
    </row>
    <row r="12" spans="1:2" x14ac:dyDescent="0.2">
      <c r="A12" s="3" t="s">
        <v>170</v>
      </c>
      <c r="B12" s="5">
        <f>298902.13</f>
        <v>298902.13</v>
      </c>
    </row>
    <row r="13" spans="1:2" x14ac:dyDescent="0.2">
      <c r="A13" s="3" t="s">
        <v>169</v>
      </c>
      <c r="B13" s="5">
        <f>68719.49</f>
        <v>68719.490000000005</v>
      </c>
    </row>
    <row r="14" spans="1:2" x14ac:dyDescent="0.2">
      <c r="A14" s="3" t="s">
        <v>168</v>
      </c>
      <c r="B14" s="5">
        <f>50428.76</f>
        <v>50428.76</v>
      </c>
    </row>
    <row r="15" spans="1:2" x14ac:dyDescent="0.2">
      <c r="A15" s="3" t="s">
        <v>167</v>
      </c>
      <c r="B15" s="5">
        <f>576.78</f>
        <v>576.78</v>
      </c>
    </row>
    <row r="16" spans="1:2" x14ac:dyDescent="0.2">
      <c r="A16" s="3" t="s">
        <v>166</v>
      </c>
      <c r="B16" s="5">
        <f>8030.27</f>
        <v>8030.27</v>
      </c>
    </row>
    <row r="17" spans="1:2" x14ac:dyDescent="0.2">
      <c r="A17" s="3" t="s">
        <v>165</v>
      </c>
      <c r="B17" s="5">
        <f>126672.78</f>
        <v>126672.78</v>
      </c>
    </row>
    <row r="18" spans="1:2" x14ac:dyDescent="0.2">
      <c r="A18" s="3" t="s">
        <v>164</v>
      </c>
      <c r="B18" s="5">
        <f>50</f>
        <v>50</v>
      </c>
    </row>
    <row r="19" spans="1:2" x14ac:dyDescent="0.2">
      <c r="A19" s="3" t="s">
        <v>163</v>
      </c>
      <c r="B19" s="5">
        <f>8922.24</f>
        <v>8922.24</v>
      </c>
    </row>
    <row r="20" spans="1:2" x14ac:dyDescent="0.2">
      <c r="A20" s="3" t="s">
        <v>162</v>
      </c>
      <c r="B20" s="5">
        <f>23664.02</f>
        <v>23664.02</v>
      </c>
    </row>
    <row r="21" spans="1:2" x14ac:dyDescent="0.2">
      <c r="A21" s="3" t="s">
        <v>161</v>
      </c>
      <c r="B21" s="5">
        <f>23806.74</f>
        <v>23806.74</v>
      </c>
    </row>
    <row r="22" spans="1:2" x14ac:dyDescent="0.2">
      <c r="A22" s="3" t="s">
        <v>160</v>
      </c>
      <c r="B22" s="5">
        <f>16713.24</f>
        <v>16713.240000000002</v>
      </c>
    </row>
    <row r="23" spans="1:2" x14ac:dyDescent="0.2">
      <c r="A23" s="3" t="s">
        <v>159</v>
      </c>
      <c r="B23" s="5">
        <f>38689.94</f>
        <v>38689.94</v>
      </c>
    </row>
    <row r="24" spans="1:2" x14ac:dyDescent="0.2">
      <c r="A24" s="3" t="s">
        <v>158</v>
      </c>
      <c r="B24" s="5">
        <f>105186.3</f>
        <v>105186.3</v>
      </c>
    </row>
    <row r="25" spans="1:2" x14ac:dyDescent="0.2">
      <c r="A25" s="3" t="s">
        <v>157</v>
      </c>
      <c r="B25" s="5">
        <f>31620.46</f>
        <v>31620.46</v>
      </c>
    </row>
    <row r="26" spans="1:2" x14ac:dyDescent="0.2">
      <c r="A26" s="3" t="s">
        <v>156</v>
      </c>
      <c r="B26" s="5">
        <f>24146.64</f>
        <v>24146.639999999999</v>
      </c>
    </row>
    <row r="27" spans="1:2" x14ac:dyDescent="0.2">
      <c r="A27" s="3" t="s">
        <v>155</v>
      </c>
      <c r="B27" s="5">
        <f>85000</f>
        <v>85000</v>
      </c>
    </row>
    <row r="28" spans="1:2" x14ac:dyDescent="0.2">
      <c r="A28" s="3" t="s">
        <v>154</v>
      </c>
      <c r="B28" s="5">
        <f>50649.95</f>
        <v>50649.95</v>
      </c>
    </row>
    <row r="29" spans="1:2" x14ac:dyDescent="0.2">
      <c r="A29" s="3" t="s">
        <v>153</v>
      </c>
      <c r="B29" s="5">
        <f>0</f>
        <v>0</v>
      </c>
    </row>
    <row r="30" spans="1:2" x14ac:dyDescent="0.2">
      <c r="A30" s="3" t="s">
        <v>152</v>
      </c>
      <c r="B30" s="5">
        <f>139139.59</f>
        <v>139139.59</v>
      </c>
    </row>
    <row r="31" spans="1:2" x14ac:dyDescent="0.2">
      <c r="A31" s="3" t="s">
        <v>151</v>
      </c>
      <c r="B31" s="5">
        <f>23185.66</f>
        <v>23185.66</v>
      </c>
    </row>
    <row r="32" spans="1:2" x14ac:dyDescent="0.2">
      <c r="A32" s="3" t="s">
        <v>150</v>
      </c>
      <c r="B32" s="5">
        <f>68372.45</f>
        <v>68372.45</v>
      </c>
    </row>
    <row r="33" spans="1:2" x14ac:dyDescent="0.2">
      <c r="A33" s="3" t="s">
        <v>149</v>
      </c>
      <c r="B33" s="5">
        <f>23505.49</f>
        <v>23505.49</v>
      </c>
    </row>
    <row r="34" spans="1:2" x14ac:dyDescent="0.2">
      <c r="A34" s="3" t="s">
        <v>148</v>
      </c>
      <c r="B34" s="5">
        <f>4754.88</f>
        <v>4754.88</v>
      </c>
    </row>
    <row r="35" spans="1:2" x14ac:dyDescent="0.2">
      <c r="A35" s="3" t="s">
        <v>147</v>
      </c>
      <c r="B35" s="5">
        <f>8000</f>
        <v>8000</v>
      </c>
    </row>
    <row r="36" spans="1:2" x14ac:dyDescent="0.2">
      <c r="A36" s="3" t="s">
        <v>146</v>
      </c>
      <c r="B36" s="5">
        <f>15460.85</f>
        <v>15460.85</v>
      </c>
    </row>
    <row r="37" spans="1:2" x14ac:dyDescent="0.2">
      <c r="A37" s="3" t="s">
        <v>145</v>
      </c>
      <c r="B37" s="5">
        <f>19146.55</f>
        <v>19146.55</v>
      </c>
    </row>
    <row r="38" spans="1:2" x14ac:dyDescent="0.2">
      <c r="A38" s="3" t="s">
        <v>144</v>
      </c>
      <c r="B38" s="9">
        <f>((((((((((((((((((((((((((((B9)+(B10))+(B11))+(B12))+(B13))+(B14))+(B15))+(B16))+(B17))+(B18))+(B19))+(B20))+(B21))+(B22))+(B23))+(B24))+(B25))+(B26))+(B27))+(B28))+(B29))+(B30))+(B31))+(B32))+(B33))+(B34))+(B35))+(B36))+(B37)</f>
        <v>1735865.6699999997</v>
      </c>
    </row>
    <row r="39" spans="1:2" x14ac:dyDescent="0.2">
      <c r="A39" s="3" t="s">
        <v>143</v>
      </c>
      <c r="B39" s="4"/>
    </row>
    <row r="40" spans="1:2" x14ac:dyDescent="0.2">
      <c r="A40" s="3" t="s">
        <v>142</v>
      </c>
      <c r="B40" s="5">
        <f>0</f>
        <v>0</v>
      </c>
    </row>
    <row r="41" spans="1:2" x14ac:dyDescent="0.2">
      <c r="A41" s="3" t="s">
        <v>141</v>
      </c>
      <c r="B41" s="5">
        <f>0</f>
        <v>0</v>
      </c>
    </row>
    <row r="42" spans="1:2" x14ac:dyDescent="0.2">
      <c r="A42" s="3" t="s">
        <v>140</v>
      </c>
      <c r="B42" s="9">
        <f>(B40)+(B41)</f>
        <v>0</v>
      </c>
    </row>
    <row r="43" spans="1:2" x14ac:dyDescent="0.2">
      <c r="A43" s="3" t="s">
        <v>139</v>
      </c>
      <c r="B43" s="9">
        <f>(B38)+(B42)</f>
        <v>1735865.6699999997</v>
      </c>
    </row>
    <row r="44" spans="1:2" x14ac:dyDescent="0.2">
      <c r="A44" s="3" t="s">
        <v>138</v>
      </c>
      <c r="B44" s="9">
        <f>B43</f>
        <v>1735865.6699999997</v>
      </c>
    </row>
    <row r="45" spans="1:2" x14ac:dyDescent="0.2">
      <c r="A45" s="3" t="s">
        <v>137</v>
      </c>
      <c r="B45" s="4"/>
    </row>
    <row r="46" spans="1:2" x14ac:dyDescent="0.2">
      <c r="A46" s="3" t="s">
        <v>136</v>
      </c>
      <c r="B46" s="4"/>
    </row>
    <row r="47" spans="1:2" x14ac:dyDescent="0.2">
      <c r="A47" s="3" t="s">
        <v>135</v>
      </c>
      <c r="B47" s="4"/>
    </row>
    <row r="48" spans="1:2" x14ac:dyDescent="0.2">
      <c r="A48" s="3" t="s">
        <v>134</v>
      </c>
      <c r="B48" s="4"/>
    </row>
    <row r="49" spans="1:2" x14ac:dyDescent="0.2">
      <c r="A49" s="3" t="s">
        <v>133</v>
      </c>
      <c r="B49" s="5">
        <f>0</f>
        <v>0</v>
      </c>
    </row>
    <row r="50" spans="1:2" x14ac:dyDescent="0.2">
      <c r="A50" s="3" t="s">
        <v>132</v>
      </c>
      <c r="B50" s="9">
        <f>B49</f>
        <v>0</v>
      </c>
    </row>
    <row r="51" spans="1:2" x14ac:dyDescent="0.2">
      <c r="A51" s="3" t="s">
        <v>131</v>
      </c>
      <c r="B51" s="4"/>
    </row>
    <row r="52" spans="1:2" x14ac:dyDescent="0.2">
      <c r="A52" s="3" t="s">
        <v>130</v>
      </c>
      <c r="B52" s="5">
        <f>0</f>
        <v>0</v>
      </c>
    </row>
    <row r="53" spans="1:2" x14ac:dyDescent="0.2">
      <c r="A53" s="3" t="s">
        <v>129</v>
      </c>
      <c r="B53" s="9">
        <f>B52</f>
        <v>0</v>
      </c>
    </row>
    <row r="54" spans="1:2" x14ac:dyDescent="0.2">
      <c r="A54" s="3" t="s">
        <v>128</v>
      </c>
      <c r="B54" s="4"/>
    </row>
    <row r="55" spans="1:2" x14ac:dyDescent="0.2">
      <c r="A55" s="3" t="s">
        <v>127</v>
      </c>
      <c r="B55" s="5">
        <f>0</f>
        <v>0</v>
      </c>
    </row>
    <row r="56" spans="1:2" x14ac:dyDescent="0.2">
      <c r="A56" s="3" t="s">
        <v>126</v>
      </c>
      <c r="B56" s="5">
        <f>0</f>
        <v>0</v>
      </c>
    </row>
    <row r="57" spans="1:2" x14ac:dyDescent="0.2">
      <c r="A57" s="3" t="s">
        <v>125</v>
      </c>
      <c r="B57" s="5">
        <f>0</f>
        <v>0</v>
      </c>
    </row>
    <row r="58" spans="1:2" x14ac:dyDescent="0.2">
      <c r="A58" s="3" t="s">
        <v>124</v>
      </c>
      <c r="B58" s="5">
        <f>0</f>
        <v>0</v>
      </c>
    </row>
    <row r="59" spans="1:2" x14ac:dyDescent="0.2">
      <c r="A59" s="3" t="s">
        <v>123</v>
      </c>
      <c r="B59" s="5">
        <f>0</f>
        <v>0</v>
      </c>
    </row>
    <row r="60" spans="1:2" x14ac:dyDescent="0.2">
      <c r="A60" s="3" t="s">
        <v>122</v>
      </c>
      <c r="B60" s="5">
        <f>0</f>
        <v>0</v>
      </c>
    </row>
    <row r="61" spans="1:2" x14ac:dyDescent="0.2">
      <c r="A61" s="3" t="s">
        <v>121</v>
      </c>
      <c r="B61" s="5">
        <f>1333.33</f>
        <v>1333.33</v>
      </c>
    </row>
    <row r="62" spans="1:2" x14ac:dyDescent="0.2">
      <c r="A62" s="3" t="s">
        <v>120</v>
      </c>
      <c r="B62" s="5">
        <f>0</f>
        <v>0</v>
      </c>
    </row>
    <row r="63" spans="1:2" x14ac:dyDescent="0.2">
      <c r="A63" s="3" t="s">
        <v>119</v>
      </c>
      <c r="B63" s="9">
        <f>(((((((B55)+(B56))+(B57))+(B58))+(B59))+(B60))+(B61))+(B62)</f>
        <v>1333.33</v>
      </c>
    </row>
    <row r="64" spans="1:2" x14ac:dyDescent="0.2">
      <c r="A64" s="3" t="s">
        <v>118</v>
      </c>
      <c r="B64" s="9">
        <f>((B50)+(B53))+(B63)</f>
        <v>1333.33</v>
      </c>
    </row>
    <row r="65" spans="1:2" x14ac:dyDescent="0.2">
      <c r="A65" s="3" t="s">
        <v>117</v>
      </c>
      <c r="B65" s="9">
        <f>B64</f>
        <v>1333.33</v>
      </c>
    </row>
    <row r="66" spans="1:2" x14ac:dyDescent="0.2">
      <c r="A66" s="3" t="s">
        <v>116</v>
      </c>
      <c r="B66" s="4"/>
    </row>
    <row r="67" spans="1:2" x14ac:dyDescent="0.2">
      <c r="A67" s="3" t="s">
        <v>115</v>
      </c>
      <c r="B67" s="5">
        <f>788648.79</f>
        <v>788648.79</v>
      </c>
    </row>
    <row r="68" spans="1:2" x14ac:dyDescent="0.2">
      <c r="A68" s="3" t="s">
        <v>114</v>
      </c>
      <c r="B68" s="5">
        <f>586254.83</f>
        <v>586254.82999999996</v>
      </c>
    </row>
    <row r="69" spans="1:2" x14ac:dyDescent="0.2">
      <c r="A69" s="3" t="s">
        <v>113</v>
      </c>
      <c r="B69" s="5">
        <f>23466.99</f>
        <v>23466.99</v>
      </c>
    </row>
    <row r="70" spans="1:2" x14ac:dyDescent="0.2">
      <c r="A70" s="3" t="s">
        <v>112</v>
      </c>
      <c r="B70" s="5">
        <f>417062.87</f>
        <v>417062.87</v>
      </c>
    </row>
    <row r="71" spans="1:2" x14ac:dyDescent="0.2">
      <c r="A71" s="3" t="s">
        <v>111</v>
      </c>
      <c r="B71" s="5">
        <f>-80901.14</f>
        <v>-80901.14</v>
      </c>
    </row>
    <row r="72" spans="1:2" x14ac:dyDescent="0.2">
      <c r="A72" s="3" t="s">
        <v>110</v>
      </c>
      <c r="B72" s="9">
        <f>((((B67)+(B68))+(B69))+(B70))+(B71)</f>
        <v>1734532.34</v>
      </c>
    </row>
    <row r="73" spans="1:2" x14ac:dyDescent="0.2">
      <c r="A73" s="3" t="s">
        <v>109</v>
      </c>
      <c r="B73" s="9">
        <f>(B65)+(B72)</f>
        <v>1735865.6700000002</v>
      </c>
    </row>
    <row r="74" spans="1:2" x14ac:dyDescent="0.2">
      <c r="A74" s="3"/>
      <c r="B74" s="4"/>
    </row>
    <row r="77" spans="1:2" x14ac:dyDescent="0.2">
      <c r="A77" s="13" t="s">
        <v>108</v>
      </c>
      <c r="B77" s="14"/>
    </row>
  </sheetData>
  <mergeCells count="4">
    <mergeCell ref="A77:B77"/>
    <mergeCell ref="A1:B1"/>
    <mergeCell ref="A2:B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 vs. Actuals</vt:lpstr>
      <vt:lpstr>Profit and Loss May</vt:lpstr>
      <vt:lpstr>Balance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sgeorge@stefangeorge.com</cp:lastModifiedBy>
  <cp:lastPrinted>2020-06-12T01:19:54Z</cp:lastPrinted>
  <dcterms:created xsi:type="dcterms:W3CDTF">2020-06-04T22:31:40Z</dcterms:created>
  <dcterms:modified xsi:type="dcterms:W3CDTF">2020-06-12T01:20:11Z</dcterms:modified>
</cp:coreProperties>
</file>