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AppData\Local\Microsoft\Windows\INetCache\Content.Outlook\8M2L8ULS\"/>
    </mc:Choice>
  </mc:AlternateContent>
  <xr:revisionPtr revIDLastSave="0" documentId="13_ncr:1_{8BB92E70-9D7F-4B67-A2CC-AF3FE32142BF}" xr6:coauthVersionLast="45" xr6:coauthVersionMax="45" xr10:uidLastSave="{00000000-0000-0000-0000-000000000000}"/>
  <bookViews>
    <workbookView xWindow="21690" yWindow="2310" windowWidth="16125" windowHeight="11385" xr2:uid="{00000000-000D-0000-FFFF-FFFF00000000}"/>
  </bookViews>
  <sheets>
    <sheet name="Budget vs. Actuals" sheetId="2" r:id="rId1"/>
    <sheet name="Profit and Loss" sheetId="4" r:id="rId2"/>
    <sheet name="Balance Shee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5" l="1"/>
  <c r="B10" i="5"/>
  <c r="B11" i="5"/>
  <c r="B38" i="5" s="1"/>
  <c r="B43" i="5" s="1"/>
  <c r="B44" i="5" s="1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40" i="5"/>
  <c r="B42" i="5" s="1"/>
  <c r="B41" i="5"/>
  <c r="B49" i="5"/>
  <c r="B50" i="5" s="1"/>
  <c r="B64" i="5" s="1"/>
  <c r="B65" i="5" s="1"/>
  <c r="B73" i="5" s="1"/>
  <c r="B52" i="5"/>
  <c r="B53" i="5"/>
  <c r="B55" i="5"/>
  <c r="B56" i="5"/>
  <c r="B57" i="5"/>
  <c r="B58" i="5"/>
  <c r="B59" i="5"/>
  <c r="B60" i="5"/>
  <c r="B61" i="5"/>
  <c r="B62" i="5"/>
  <c r="B63" i="5"/>
  <c r="B67" i="5"/>
  <c r="B68" i="5"/>
  <c r="B69" i="5"/>
  <c r="B70" i="5"/>
  <c r="B71" i="5"/>
  <c r="B72" i="5"/>
  <c r="C7" i="4"/>
  <c r="B8" i="4"/>
  <c r="C8" i="4"/>
  <c r="B9" i="4"/>
  <c r="B16" i="4" s="1"/>
  <c r="C9" i="4"/>
  <c r="C10" i="4"/>
  <c r="B11" i="4"/>
  <c r="C11" i="4"/>
  <c r="B12" i="4"/>
  <c r="C12" i="4" s="1"/>
  <c r="C13" i="4"/>
  <c r="B14" i="4"/>
  <c r="B15" i="4" s="1"/>
  <c r="C15" i="4" s="1"/>
  <c r="C14" i="4"/>
  <c r="C19" i="4"/>
  <c r="B20" i="4"/>
  <c r="C20" i="4" s="1"/>
  <c r="B21" i="4"/>
  <c r="C21" i="4"/>
  <c r="B22" i="4"/>
  <c r="C22" i="4" s="1"/>
  <c r="B23" i="4"/>
  <c r="C23" i="4"/>
  <c r="B24" i="4"/>
  <c r="C24" i="4" s="1"/>
  <c r="B25" i="4"/>
  <c r="C25" i="4"/>
  <c r="B26" i="4"/>
  <c r="C26" i="4" s="1"/>
  <c r="B27" i="4"/>
  <c r="C27" i="4"/>
  <c r="B28" i="4"/>
  <c r="C28" i="4" s="1"/>
  <c r="C29" i="4"/>
  <c r="B30" i="4"/>
  <c r="C30" i="4"/>
  <c r="B31" i="4"/>
  <c r="C31" i="4" s="1"/>
  <c r="B32" i="4"/>
  <c r="C32" i="4"/>
  <c r="C33" i="4"/>
  <c r="B34" i="4"/>
  <c r="C34" i="4"/>
  <c r="B35" i="4"/>
  <c r="C35" i="4" s="1"/>
  <c r="C36" i="4"/>
  <c r="B37" i="4"/>
  <c r="C37" i="4"/>
  <c r="B38" i="4"/>
  <c r="C38" i="4" s="1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C46" i="4"/>
  <c r="B47" i="4"/>
  <c r="C47" i="4"/>
  <c r="B48" i="4"/>
  <c r="C48" i="4" s="1"/>
  <c r="C49" i="4"/>
  <c r="B50" i="4"/>
  <c r="B51" i="4" s="1"/>
  <c r="C51" i="4" s="1"/>
  <c r="C50" i="4"/>
  <c r="C16" i="4" l="1"/>
  <c r="B17" i="4"/>
  <c r="B52" i="4"/>
  <c r="C52" i="4" s="1"/>
  <c r="D8" i="2"/>
  <c r="E8" i="2"/>
  <c r="B9" i="2"/>
  <c r="C9" i="2"/>
  <c r="B10" i="2"/>
  <c r="C10" i="2"/>
  <c r="B11" i="2"/>
  <c r="C11" i="2"/>
  <c r="B12" i="2"/>
  <c r="C12" i="2"/>
  <c r="C13" i="2"/>
  <c r="D13" i="2"/>
  <c r="E13" i="2"/>
  <c r="C14" i="2"/>
  <c r="D14" i="2" s="1"/>
  <c r="B15" i="2"/>
  <c r="D16" i="2"/>
  <c r="E16" i="2"/>
  <c r="B17" i="2"/>
  <c r="C17" i="2"/>
  <c r="D17" i="2" s="1"/>
  <c r="B18" i="2"/>
  <c r="D19" i="2"/>
  <c r="E19" i="2"/>
  <c r="B20" i="2"/>
  <c r="C20" i="2"/>
  <c r="B21" i="2"/>
  <c r="C21" i="2"/>
  <c r="B22" i="2"/>
  <c r="D23" i="2"/>
  <c r="E23" i="2"/>
  <c r="C24" i="2"/>
  <c r="D24" i="2"/>
  <c r="E24" i="2"/>
  <c r="B25" i="2"/>
  <c r="C25" i="2"/>
  <c r="B26" i="2"/>
  <c r="C26" i="2"/>
  <c r="B27" i="2"/>
  <c r="E27" i="2"/>
  <c r="B28" i="2"/>
  <c r="D28" i="2" s="1"/>
  <c r="E28" i="2"/>
  <c r="D32" i="2"/>
  <c r="E32" i="2"/>
  <c r="B33" i="2"/>
  <c r="D33" i="2" s="1"/>
  <c r="C33" i="2"/>
  <c r="E33" i="2"/>
  <c r="C34" i="2"/>
  <c r="D34" i="2" s="1"/>
  <c r="C35" i="2"/>
  <c r="E35" i="2" s="1"/>
  <c r="D35" i="2"/>
  <c r="B36" i="2"/>
  <c r="D36" i="2" s="1"/>
  <c r="C36" i="2"/>
  <c r="B37" i="2"/>
  <c r="C37" i="2"/>
  <c r="E37" i="2" s="1"/>
  <c r="B38" i="2"/>
  <c r="C38" i="2"/>
  <c r="B39" i="2"/>
  <c r="D39" i="2" s="1"/>
  <c r="C39" i="2"/>
  <c r="B40" i="2"/>
  <c r="C40" i="2"/>
  <c r="C41" i="2"/>
  <c r="D41" i="2" s="1"/>
  <c r="B42" i="2"/>
  <c r="D42" i="2" s="1"/>
  <c r="C42" i="2"/>
  <c r="E42" i="2" s="1"/>
  <c r="B43" i="2"/>
  <c r="D43" i="2" s="1"/>
  <c r="C43" i="2"/>
  <c r="E43" i="2" s="1"/>
  <c r="B44" i="2"/>
  <c r="D44" i="2" s="1"/>
  <c r="C44" i="2"/>
  <c r="E44" i="2" s="1"/>
  <c r="B45" i="2"/>
  <c r="D45" i="2" s="1"/>
  <c r="C45" i="2"/>
  <c r="E45" i="2" s="1"/>
  <c r="B46" i="2"/>
  <c r="D46" i="2" s="1"/>
  <c r="C46" i="2"/>
  <c r="E46" i="2" s="1"/>
  <c r="C47" i="2"/>
  <c r="D48" i="2"/>
  <c r="E48" i="2"/>
  <c r="B49" i="2"/>
  <c r="C49" i="2"/>
  <c r="D51" i="2"/>
  <c r="E51" i="2"/>
  <c r="B52" i="2"/>
  <c r="C52" i="2"/>
  <c r="D52" i="2" s="1"/>
  <c r="B53" i="2"/>
  <c r="C53" i="2"/>
  <c r="E53" i="2"/>
  <c r="B54" i="2"/>
  <c r="C54" i="2"/>
  <c r="E54" i="2" s="1"/>
  <c r="B55" i="2"/>
  <c r="D56" i="2"/>
  <c r="E56" i="2"/>
  <c r="C57" i="2"/>
  <c r="E57" i="2" s="1"/>
  <c r="B58" i="2"/>
  <c r="B60" i="2" s="1"/>
  <c r="C58" i="2"/>
  <c r="C59" i="2"/>
  <c r="D59" i="2" s="1"/>
  <c r="D61" i="2"/>
  <c r="E61" i="2"/>
  <c r="C62" i="2"/>
  <c r="E62" i="2" s="1"/>
  <c r="B63" i="2"/>
  <c r="C63" i="2"/>
  <c r="B64" i="2"/>
  <c r="D64" i="2" s="1"/>
  <c r="C64" i="2"/>
  <c r="B65" i="2"/>
  <c r="C65" i="2"/>
  <c r="B66" i="2"/>
  <c r="C66" i="2"/>
  <c r="D66" i="2"/>
  <c r="B67" i="2"/>
  <c r="C67" i="2"/>
  <c r="B68" i="2"/>
  <c r="C68" i="2"/>
  <c r="D68" i="2" s="1"/>
  <c r="B69" i="2"/>
  <c r="C69" i="2"/>
  <c r="B70" i="2"/>
  <c r="D70" i="2" s="1"/>
  <c r="C70" i="2"/>
  <c r="B71" i="2"/>
  <c r="E71" i="2"/>
  <c r="B72" i="2"/>
  <c r="D72" i="2" s="1"/>
  <c r="C72" i="2"/>
  <c r="C73" i="2"/>
  <c r="D74" i="2"/>
  <c r="E74" i="2"/>
  <c r="B75" i="2"/>
  <c r="C75" i="2"/>
  <c r="C76" i="2"/>
  <c r="E76" i="2" s="1"/>
  <c r="B77" i="2"/>
  <c r="C77" i="2"/>
  <c r="B78" i="2"/>
  <c r="E78" i="2"/>
  <c r="C79" i="2"/>
  <c r="D79" i="2"/>
  <c r="E79" i="2"/>
  <c r="C80" i="2"/>
  <c r="D80" i="2" s="1"/>
  <c r="B81" i="2"/>
  <c r="C81" i="2"/>
  <c r="B82" i="2"/>
  <c r="C82" i="2"/>
  <c r="B83" i="2"/>
  <c r="D84" i="2"/>
  <c r="E84" i="2"/>
  <c r="B85" i="2"/>
  <c r="C85" i="2"/>
  <c r="D85" i="2" s="1"/>
  <c r="C86" i="2"/>
  <c r="D86" i="2"/>
  <c r="E86" i="2"/>
  <c r="B87" i="2"/>
  <c r="D87" i="2" s="1"/>
  <c r="C87" i="2"/>
  <c r="E87" i="2"/>
  <c r="C88" i="2"/>
  <c r="D88" i="2" s="1"/>
  <c r="C89" i="2"/>
  <c r="D89" i="2"/>
  <c r="E89" i="2"/>
  <c r="B90" i="2"/>
  <c r="D91" i="2"/>
  <c r="E91" i="2"/>
  <c r="B92" i="2"/>
  <c r="B94" i="2" s="1"/>
  <c r="C92" i="2"/>
  <c r="B93" i="2"/>
  <c r="D93" i="2"/>
  <c r="E93" i="2"/>
  <c r="D95" i="2"/>
  <c r="E95" i="2"/>
  <c r="D96" i="2"/>
  <c r="E96" i="2"/>
  <c r="D97" i="2"/>
  <c r="E97" i="2"/>
  <c r="B98" i="2"/>
  <c r="D98" i="2" s="1"/>
  <c r="E98" i="2"/>
  <c r="C99" i="2"/>
  <c r="E99" i="2" s="1"/>
  <c r="C102" i="2"/>
  <c r="D102" i="2" s="1"/>
  <c r="D103" i="2"/>
  <c r="E103" i="2"/>
  <c r="C104" i="2"/>
  <c r="E104" i="2" s="1"/>
  <c r="B105" i="2"/>
  <c r="D105" i="2" s="1"/>
  <c r="C105" i="2"/>
  <c r="C107" i="2"/>
  <c r="D107" i="2" s="1"/>
  <c r="B53" i="4" l="1"/>
  <c r="C17" i="4"/>
  <c r="B106" i="2"/>
  <c r="D104" i="2"/>
  <c r="E102" i="2"/>
  <c r="B99" i="2"/>
  <c r="D99" i="2" s="1"/>
  <c r="E80" i="2"/>
  <c r="C60" i="2"/>
  <c r="D53" i="2"/>
  <c r="E41" i="2"/>
  <c r="D40" i="2"/>
  <c r="C18" i="2"/>
  <c r="E14" i="2"/>
  <c r="E92" i="2"/>
  <c r="E88" i="2"/>
  <c r="E85" i="2"/>
  <c r="D76" i="2"/>
  <c r="E72" i="2"/>
  <c r="D62" i="2"/>
  <c r="E59" i="2"/>
  <c r="D54" i="2"/>
  <c r="E34" i="2"/>
  <c r="E107" i="2"/>
  <c r="C55" i="2"/>
  <c r="E52" i="2"/>
  <c r="E39" i="2"/>
  <c r="D37" i="2"/>
  <c r="E20" i="2"/>
  <c r="E17" i="2"/>
  <c r="E60" i="2"/>
  <c r="E105" i="2"/>
  <c r="C94" i="2"/>
  <c r="D82" i="2"/>
  <c r="D81" i="2"/>
  <c r="D67" i="2"/>
  <c r="E40" i="2"/>
  <c r="D38" i="2"/>
  <c r="D27" i="2"/>
  <c r="D26" i="2"/>
  <c r="E26" i="2"/>
  <c r="B29" i="2"/>
  <c r="D25" i="2"/>
  <c r="E25" i="2"/>
  <c r="E49" i="2"/>
  <c r="C50" i="2"/>
  <c r="C100" i="2"/>
  <c r="D69" i="2"/>
  <c r="D65" i="2"/>
  <c r="E58" i="2"/>
  <c r="E38" i="2"/>
  <c r="E21" i="2"/>
  <c r="C22" i="2"/>
  <c r="C106" i="2"/>
  <c r="D92" i="2"/>
  <c r="E82" i="2"/>
  <c r="E81" i="2"/>
  <c r="D77" i="2"/>
  <c r="D71" i="2"/>
  <c r="B73" i="2"/>
  <c r="D63" i="2"/>
  <c r="E36" i="2"/>
  <c r="D78" i="2"/>
  <c r="E75" i="2"/>
  <c r="E70" i="2"/>
  <c r="E68" i="2"/>
  <c r="E66" i="2"/>
  <c r="E64" i="2"/>
  <c r="D57" i="2"/>
  <c r="D49" i="2"/>
  <c r="D21" i="2"/>
  <c r="D12" i="2"/>
  <c r="E12" i="2"/>
  <c r="D11" i="2"/>
  <c r="E11" i="2"/>
  <c r="D10" i="2"/>
  <c r="E10" i="2"/>
  <c r="D9" i="2"/>
  <c r="E9" i="2"/>
  <c r="C15" i="2"/>
  <c r="C90" i="2"/>
  <c r="C83" i="2"/>
  <c r="D83" i="2" s="1"/>
  <c r="E77" i="2"/>
  <c r="D75" i="2"/>
  <c r="E69" i="2"/>
  <c r="E67" i="2"/>
  <c r="E65" i="2"/>
  <c r="E63" i="2"/>
  <c r="D60" i="2"/>
  <c r="D58" i="2"/>
  <c r="B50" i="2"/>
  <c r="B47" i="2"/>
  <c r="D22" i="2"/>
  <c r="D20" i="2"/>
  <c r="C53" i="4" l="1"/>
  <c r="B54" i="4"/>
  <c r="C54" i="4" s="1"/>
  <c r="D55" i="2"/>
  <c r="E55" i="2"/>
  <c r="E18" i="2"/>
  <c r="D18" i="2"/>
  <c r="B100" i="2"/>
  <c r="D100" i="2"/>
  <c r="B101" i="2"/>
  <c r="B108" i="2" s="1"/>
  <c r="B30" i="2"/>
  <c r="E83" i="2"/>
  <c r="E106" i="2"/>
  <c r="D47" i="2"/>
  <c r="E90" i="2"/>
  <c r="E15" i="2"/>
  <c r="C29" i="2"/>
  <c r="D29" i="2" s="1"/>
  <c r="D73" i="2"/>
  <c r="E73" i="2"/>
  <c r="D15" i="2"/>
  <c r="E100" i="2"/>
  <c r="C101" i="2"/>
  <c r="D90" i="2"/>
  <c r="E50" i="2"/>
  <c r="E94" i="2"/>
  <c r="D94" i="2"/>
  <c r="E22" i="2"/>
  <c r="D50" i="2"/>
  <c r="C108" i="2"/>
  <c r="E47" i="2"/>
  <c r="D106" i="2"/>
  <c r="E108" i="2" l="1"/>
  <c r="D108" i="2"/>
  <c r="D101" i="2"/>
  <c r="E101" i="2"/>
  <c r="E29" i="2"/>
  <c r="C30" i="2"/>
  <c r="D30" i="2" s="1"/>
  <c r="B109" i="2"/>
  <c r="E30" i="2" l="1"/>
  <c r="C109" i="2"/>
  <c r="B110" i="2"/>
  <c r="D109" i="2"/>
  <c r="E109" i="2" l="1"/>
  <c r="C110" i="2"/>
  <c r="E110" i="2" l="1"/>
  <c r="D110" i="2"/>
</calcChain>
</file>

<file path=xl/sharedStrings.xml><?xml version="1.0" encoding="utf-8"?>
<sst xmlns="http://schemas.openxmlformats.org/spreadsheetml/2006/main" count="244" uniqueCount="192">
  <si>
    <t>Chapter</t>
  </si>
  <si>
    <t>TOTAL</t>
  </si>
  <si>
    <t>Actual</t>
  </si>
  <si>
    <t>Budget</t>
  </si>
  <si>
    <t>over Budget</t>
  </si>
  <si>
    <t>% of Budget</t>
  </si>
  <si>
    <t>Income</t>
  </si>
  <si>
    <t xml:space="preserve">   4100 Dues &amp; Conference</t>
  </si>
  <si>
    <t xml:space="preserve">      4115 Dues - National Subvention</t>
  </si>
  <si>
    <t xml:space="preserve">      4120 Dues - Chapter Only</t>
  </si>
  <si>
    <t xml:space="preserve">      4125 Conference Profit</t>
  </si>
  <si>
    <t xml:space="preserve">      4126 Conference Profit - Prior Year</t>
  </si>
  <si>
    <t xml:space="preserve">      4127 Pre-Conference Session Profit</t>
  </si>
  <si>
    <t xml:space="preserve">      4128 Extra Conference Profit 2016 for Allocation</t>
  </si>
  <si>
    <t xml:space="preserve">   Total 4100 Dues &amp; Conference</t>
  </si>
  <si>
    <t xml:space="preserve">   4200 Administrative Income</t>
  </si>
  <si>
    <t xml:space="preserve">      4205 Extra Award Reimb</t>
  </si>
  <si>
    <t xml:space="preserve">   Total 4200 Administrative Income</t>
  </si>
  <si>
    <t xml:space="preserve">   4400 Professional Development Income</t>
  </si>
  <si>
    <t xml:space="preserve">      4405 AICP Publications</t>
  </si>
  <si>
    <t xml:space="preserve">      4410 Webcast/Workshop Income</t>
  </si>
  <si>
    <t xml:space="preserve">   Total 4400 Professional Development Income</t>
  </si>
  <si>
    <t xml:space="preserve">   4500 Public Information Income</t>
  </si>
  <si>
    <t xml:space="preserve">      4510 News - Ads</t>
  </si>
  <si>
    <t xml:space="preserve">      4520 Web Ad</t>
  </si>
  <si>
    <t xml:space="preserve">   Total 4500 Public Information Income</t>
  </si>
  <si>
    <t xml:space="preserve">   4700 Sponsorships</t>
  </si>
  <si>
    <t xml:space="preserve">   9200 Federal Tax Return</t>
  </si>
  <si>
    <t>Total Income</t>
  </si>
  <si>
    <t>Gross Profit</t>
  </si>
  <si>
    <t>Expenses</t>
  </si>
  <si>
    <t xml:space="preserve">   5100 Operations Expense</t>
  </si>
  <si>
    <t xml:space="preserve">      5105 Management</t>
  </si>
  <si>
    <t xml:space="preserve">      5110 Operations/Miscellaneous</t>
  </si>
  <si>
    <t xml:space="preserve">      5115 Board Meetings</t>
  </si>
  <si>
    <t xml:space="preserve">      5120 Insurance Expense</t>
  </si>
  <si>
    <t xml:space="preserve">      5125 Board Retreat</t>
  </si>
  <si>
    <t xml:space="preserve">      5140 Telephone/Fax</t>
  </si>
  <si>
    <t xml:space="preserve">      5145 Office Supplies</t>
  </si>
  <si>
    <t xml:space="preserve">      5150 Postage</t>
  </si>
  <si>
    <t xml:space="preserve">      5155 Dues &amp; Subscriptions</t>
  </si>
  <si>
    <t xml:space="preserve">      5170 Storage</t>
  </si>
  <si>
    <t xml:space="preserve">      5175 Merchant Credit Card Fee</t>
  </si>
  <si>
    <t xml:space="preserve">      5180 ATEGO Resources</t>
  </si>
  <si>
    <t xml:space="preserve">      5185 New Horizon Enterprise</t>
  </si>
  <si>
    <t xml:space="preserve">      5190 Bank Charges</t>
  </si>
  <si>
    <t xml:space="preserve">   Total 5100 Operations Expense</t>
  </si>
  <si>
    <t xml:space="preserve">   5200 President Expense</t>
  </si>
  <si>
    <t xml:space="preserve">      5220 President-Elect/Past President</t>
  </si>
  <si>
    <t xml:space="preserve">   Total 5200 President Expense</t>
  </si>
  <si>
    <t xml:space="preserve">   5300 Policy &amp; Legislation</t>
  </si>
  <si>
    <t xml:space="preserve">      5305 Lobbying Expenses</t>
  </si>
  <si>
    <t xml:space="preserve">      5310 FPPC Quarterly Filing Fees</t>
  </si>
  <si>
    <t xml:space="preserve">      5315 VP Policy &amp; Legislation/Review</t>
  </si>
  <si>
    <t xml:space="preserve">   Total 5300 Policy &amp; Legislation</t>
  </si>
  <si>
    <t xml:space="preserve">   5400 Professional Development</t>
  </si>
  <si>
    <t xml:space="preserve">      5402 APA Anniversary Activities</t>
  </si>
  <si>
    <t xml:space="preserve">      5415 Webinars/Workshops</t>
  </si>
  <si>
    <t xml:space="preserve">      5420 AICP Publications</t>
  </si>
  <si>
    <t xml:space="preserve">   Total 5400 Professional Development</t>
  </si>
  <si>
    <t xml:space="preserve">   5500 Public Information Expense</t>
  </si>
  <si>
    <t xml:space="preserve">      5505 V.P. for Public Information Exp</t>
  </si>
  <si>
    <t xml:space="preserve">      5510 Directory Maintenance - NHE</t>
  </si>
  <si>
    <t xml:space="preserve">      5515 News Distributions - ATEGO</t>
  </si>
  <si>
    <t xml:space="preserve">      5520 News &amp; Design - Gran Designs</t>
  </si>
  <si>
    <t xml:space="preserve">      5521 News Production - Proofreader</t>
  </si>
  <si>
    <t xml:space="preserve">      5525 News Management - NHE</t>
  </si>
  <si>
    <t xml:space="preserve">      5530 Awards Program - Website Update</t>
  </si>
  <si>
    <t xml:space="preserve">      5535 Webmaster - ATEGO</t>
  </si>
  <si>
    <t xml:space="preserve">      5540 Website Hosting/Support</t>
  </si>
  <si>
    <t xml:space="preserve">      5545 Website Redesign</t>
  </si>
  <si>
    <t xml:space="preserve">      5555 Other Public Information</t>
  </si>
  <si>
    <t xml:space="preserve">   Total 5500 Public Information Expense</t>
  </si>
  <si>
    <t xml:space="preserve">   5600 Administrative</t>
  </si>
  <si>
    <t xml:space="preserve">      5610 Awards</t>
  </si>
  <si>
    <t xml:space="preserve">      5615 Extra Award Expense</t>
  </si>
  <si>
    <t xml:space="preserve">      5620 Bookkeeping/Accounting/Tax Services</t>
  </si>
  <si>
    <t xml:space="preserve">      5625 Reserves/Savings Contributions</t>
  </si>
  <si>
    <t xml:space="preserve">      5630 UBIT Tax-Unrelated Business Inc</t>
  </si>
  <si>
    <t xml:space="preserve">      5645 Annual Report</t>
  </si>
  <si>
    <t xml:space="preserve">      5650 QBO Fee + Section Access</t>
  </si>
  <si>
    <t xml:space="preserve">      5669 Future Expenditures</t>
  </si>
  <si>
    <t xml:space="preserve">   Total 5600 Administrative</t>
  </si>
  <si>
    <t xml:space="preserve">   5700 Section Subventions</t>
  </si>
  <si>
    <t xml:space="preserve">      5705 Section Dues Rebates</t>
  </si>
  <si>
    <t xml:space="preserve">      5706 CM Fees</t>
  </si>
  <si>
    <t xml:space="preserve">      5715 Section State Conference Rebate</t>
  </si>
  <si>
    <t xml:space="preserve">      5725 Section Chapter-Only Rebate</t>
  </si>
  <si>
    <t xml:space="preserve">      5730 Section Grants &amp; Projects/Extra 2016 Conf Profits</t>
  </si>
  <si>
    <t xml:space="preserve">   Total 5700 Section Subventions</t>
  </si>
  <si>
    <t xml:space="preserve">   5900 Other Expenses</t>
  </si>
  <si>
    <t xml:space="preserve">      5915 CSUN Archives</t>
  </si>
  <si>
    <t xml:space="preserve">      5920 Miscellaneous Expense</t>
  </si>
  <si>
    <t xml:space="preserve">   Total 5900 Other Expenses</t>
  </si>
  <si>
    <t xml:space="preserve">   6200 Conferences</t>
  </si>
  <si>
    <t xml:space="preserve">      6480 Social Media</t>
  </si>
  <si>
    <t xml:space="preserve">         6481 Website</t>
  </si>
  <si>
    <t xml:space="preserve">            6481.1 Hosting</t>
  </si>
  <si>
    <t xml:space="preserve">         Total 6481 Website</t>
  </si>
  <si>
    <t xml:space="preserve">      Total 6480 Social Media</t>
  </si>
  <si>
    <t xml:space="preserve">   Total 6200 Conferences</t>
  </si>
  <si>
    <t xml:space="preserve">   6205 VP Conference Expense</t>
  </si>
  <si>
    <t xml:space="preserve">   6300 Marketing &amp; Membership</t>
  </si>
  <si>
    <t xml:space="preserve">      6320 Great Places</t>
  </si>
  <si>
    <t xml:space="preserve">      6335 Membership Programs</t>
  </si>
  <si>
    <t xml:space="preserve">   Total 6300 Marketing &amp; Membership</t>
  </si>
  <si>
    <t xml:space="preserve">   6439 Pre-Conference Session Expenses</t>
  </si>
  <si>
    <t>Total Expenses</t>
  </si>
  <si>
    <t>Net Operating Income</t>
  </si>
  <si>
    <t>Net Income</t>
  </si>
  <si>
    <t>American Planning Assoc. California Chapter</t>
  </si>
  <si>
    <t>Budget vs. Actuals: Chapter 2020 (REVISED) - FY20 P&amp;L  Classes</t>
  </si>
  <si>
    <t>Sunday, Oct 04, 2020 10:52:49 AM GMT-7 - Cash Basis</t>
  </si>
  <si>
    <t>January - September, 2020</t>
  </si>
  <si>
    <t>Old paypal account deposited into chapter for AICP</t>
  </si>
  <si>
    <t>This is the aditional Digital Gear money $6206.70 for the conference expense chapter paid for Per Hanson.</t>
  </si>
  <si>
    <r>
      <t>Ove</t>
    </r>
    <r>
      <rPr>
        <sz val="8"/>
        <color rgb="FF000000"/>
        <rFont val="Calibri"/>
        <family val="2"/>
        <scheme val="minor"/>
      </rPr>
      <t>r budget with Carol Malin. We have more expenses in October as well.</t>
    </r>
    <r>
      <rPr>
        <sz val="8"/>
        <color indexed="8"/>
        <rFont val="Calibri"/>
        <family val="2"/>
        <scheme val="minor"/>
      </rPr>
      <t xml:space="preserve"> For CalPlanner and Enews</t>
    </r>
  </si>
  <si>
    <t>Sunday, Oct 04, 2020 11:02:15 AM GMT-7 - Cash Basis</t>
  </si>
  <si>
    <t>September 2020</t>
  </si>
  <si>
    <t>Profit and Loss by Class</t>
  </si>
  <si>
    <t>Sunday, Oct 04, 2020 11:03:07 AM GMT-7 - Cash Basis</t>
  </si>
  <si>
    <t>TOTAL LIABILITIES AND EQUITY</t>
  </si>
  <si>
    <t xml:space="preserve">   Total Equity</t>
  </si>
  <si>
    <t xml:space="preserve">      Net Income</t>
  </si>
  <si>
    <t xml:space="preserve">      3900 Unrestricted Net Assets</t>
  </si>
  <si>
    <t xml:space="preserve">      3200 Retained Earnings Conference</t>
  </si>
  <si>
    <t xml:space="preserve">      3100 Retained Earnings Sections</t>
  </si>
  <si>
    <t xml:space="preserve">      3000 Retained Earnings</t>
  </si>
  <si>
    <t xml:space="preserve">   Equity</t>
  </si>
  <si>
    <t xml:space="preserve">   Total Liabilities</t>
  </si>
  <si>
    <t xml:space="preserve">      Total Current Liabilities</t>
  </si>
  <si>
    <t xml:space="preserve">         Total Other Current Liabilities</t>
  </si>
  <si>
    <t xml:space="preserve">            Seed Money Liability</t>
  </si>
  <si>
    <t xml:space="preserve">            Grants - Liabilities</t>
  </si>
  <si>
    <t xml:space="preserve">            2500 Inter-Fund Tranfers</t>
  </si>
  <si>
    <t xml:space="preserve">            2450 Payable to Chapter</t>
  </si>
  <si>
    <t xml:space="preserve">            2410 Due to Plan 4 Health</t>
  </si>
  <si>
    <t xml:space="preserve">            2400 Payable to Conference # 3</t>
  </si>
  <si>
    <t xml:space="preserve">            2300 Payable to Conference # 2</t>
  </si>
  <si>
    <t xml:space="preserve">            2200 Payable to Conference # 1</t>
  </si>
  <si>
    <t xml:space="preserve">         Other Current Liabilities</t>
  </si>
  <si>
    <t xml:space="preserve">         Total Credit Cards</t>
  </si>
  <si>
    <t xml:space="preserve">            8508 BofA Credit Card [Chapter]</t>
  </si>
  <si>
    <t xml:space="preserve">         Credit Cards</t>
  </si>
  <si>
    <t xml:space="preserve">         Total Accounts Payable</t>
  </si>
  <si>
    <t xml:space="preserve">            2000 Accounts Payable</t>
  </si>
  <si>
    <t xml:space="preserve">         Accounts Payable</t>
  </si>
  <si>
    <t xml:space="preserve">      Current Liabilities</t>
  </si>
  <si>
    <t xml:space="preserve">   Liabilities</t>
  </si>
  <si>
    <t>LIABILITIES AND EQUITY</t>
  </si>
  <si>
    <t>TOTAL ASSETS</t>
  </si>
  <si>
    <t xml:space="preserve">   Total Current Assets</t>
  </si>
  <si>
    <t xml:space="preserve">      Total Other Current Assets</t>
  </si>
  <si>
    <t xml:space="preserve">         12200 Loan to Conf #3</t>
  </si>
  <si>
    <t xml:space="preserve">         12000 Undeposited Funds</t>
  </si>
  <si>
    <t xml:space="preserve">      Other Current Assets</t>
  </si>
  <si>
    <t xml:space="preserve">      Total Bank Accounts</t>
  </si>
  <si>
    <t xml:space="preserve">         1059 Janus Account Orange</t>
  </si>
  <si>
    <t xml:space="preserve">         1058 Citibank Checking - ORANGE</t>
  </si>
  <si>
    <t xml:space="preserve">         1057 Chase Scholarship - ORANGE</t>
  </si>
  <si>
    <t xml:space="preserve">         1056 Chase Checking - ORANGE</t>
  </si>
  <si>
    <t xml:space="preserve">         1054 Chase Savings - ORANGE</t>
  </si>
  <si>
    <t xml:space="preserve">         1052 Wells Fargo Svgs - Northern</t>
  </si>
  <si>
    <t xml:space="preserve">         1051 Wells Fargo Ckg - Northern</t>
  </si>
  <si>
    <t xml:space="preserve">         1048 Los Angeles - Savings (new)</t>
  </si>
  <si>
    <t xml:space="preserve">         1047 Los Angeles - Savings</t>
  </si>
  <si>
    <t xml:space="preserve">         1046 Los Angeles - Checking</t>
  </si>
  <si>
    <t xml:space="preserve">         1035 B of A Savings CENTRAL</t>
  </si>
  <si>
    <t xml:space="preserve">         1034 B of A Checking - CENTRAL</t>
  </si>
  <si>
    <t xml:space="preserve">         1031 Wells Fargo Brokerage - Central Coast</t>
  </si>
  <si>
    <t xml:space="preserve">         1030 WFB Checking - Central Coast</t>
  </si>
  <si>
    <t xml:space="preserve">         1028 Inland Empire Union Bank Ckg</t>
  </si>
  <si>
    <t xml:space="preserve">         1027 San Diego CCu Cert #39</t>
  </si>
  <si>
    <t xml:space="preserve">         1026 San Diego CCU Cert #38</t>
  </si>
  <si>
    <t xml:space="preserve">         1025 San Diego CCU Cert #36</t>
  </si>
  <si>
    <t xml:space="preserve">         1024 San Diego CCU MM#01</t>
  </si>
  <si>
    <t xml:space="preserve">         1023 San Diego CCU Sav #00</t>
  </si>
  <si>
    <t xml:space="preserve">         1022 San Diego CCU Ckg #96</t>
  </si>
  <si>
    <t xml:space="preserve">         1019 B of A-Conference #4 - 2021</t>
  </si>
  <si>
    <t xml:space="preserve">         1018 B of A - Conference # 3 (#7129) - 2018</t>
  </si>
  <si>
    <t xml:space="preserve">         1015 B of A - Conference # 2 (#3350) - 2020</t>
  </si>
  <si>
    <t xml:space="preserve">         1014 B of A - Conference # 1 (#1444) - 2019</t>
  </si>
  <si>
    <t xml:space="preserve">         1010 Bank of America - Chapter</t>
  </si>
  <si>
    <t xml:space="preserve">         1007 Capital One 360 - Sac Valley</t>
  </si>
  <si>
    <t xml:space="preserve">         1006 River City Bank - Sac Valley</t>
  </si>
  <si>
    <t xml:space="preserve">         1000 American Funds - Class A</t>
  </si>
  <si>
    <t xml:space="preserve">      Bank Accounts</t>
  </si>
  <si>
    <t xml:space="preserve">   Current Assets</t>
  </si>
  <si>
    <t>ASSETS</t>
  </si>
  <si>
    <t>Total</t>
  </si>
  <si>
    <t>As of September 30, 2020</t>
  </si>
  <si>
    <t>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</si>
</sst>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13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0" fontId="7" fillId="2" borderId="0" xfId="0" applyFont="1" applyFill="1"/>
    <xf numFmtId="0" fontId="0" fillId="2" borderId="0" xfId="0" applyFill="1"/>
    <xf numFmtId="164" fontId="8" fillId="0" borderId="0" xfId="0" applyNumberFormat="1" applyFont="1" applyAlignment="1">
      <alignment wrapText="1"/>
    </xf>
    <xf numFmtId="0" fontId="9" fillId="0" borderId="0" xfId="0" applyFont="1" applyAlignment="1">
      <alignment horizontal="left" wrapText="1"/>
    </xf>
    <xf numFmtId="165" fontId="9" fillId="0" borderId="2" xfId="0" applyNumberFormat="1" applyFont="1" applyBorder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9D3A-5A0E-4ADA-B5AF-4BF5A5F8B55C}">
  <dimension ref="A1:M114"/>
  <sheetViews>
    <sheetView tabSelected="1" topLeftCell="B4" workbookViewId="0">
      <selection activeCell="K15" sqref="K15"/>
    </sheetView>
  </sheetViews>
  <sheetFormatPr defaultRowHeight="15" x14ac:dyDescent="0.25"/>
  <cols>
    <col min="1" max="1" width="52.42578125" customWidth="1"/>
    <col min="2" max="5" width="12" customWidth="1"/>
  </cols>
  <sheetData>
    <row r="1" spans="1:5" ht="18" x14ac:dyDescent="0.25">
      <c r="A1" s="20" t="s">
        <v>110</v>
      </c>
      <c r="B1" s="19"/>
      <c r="C1" s="19"/>
      <c r="D1" s="19"/>
      <c r="E1" s="19"/>
    </row>
    <row r="2" spans="1:5" ht="18" x14ac:dyDescent="0.25">
      <c r="A2" s="20" t="s">
        <v>111</v>
      </c>
      <c r="B2" s="19"/>
      <c r="C2" s="19"/>
      <c r="D2" s="19"/>
      <c r="E2" s="19"/>
    </row>
    <row r="3" spans="1:5" x14ac:dyDescent="0.25">
      <c r="A3" s="21" t="s">
        <v>113</v>
      </c>
      <c r="B3" s="19"/>
      <c r="C3" s="19"/>
      <c r="D3" s="19"/>
      <c r="E3" s="19"/>
    </row>
    <row r="5" spans="1:5" x14ac:dyDescent="0.25">
      <c r="A5" s="1"/>
      <c r="B5" s="16" t="s">
        <v>0</v>
      </c>
      <c r="C5" s="17"/>
      <c r="D5" s="17"/>
      <c r="E5" s="17"/>
    </row>
    <row r="6" spans="1:5" x14ac:dyDescent="0.25">
      <c r="A6" s="1"/>
      <c r="B6" s="2" t="s">
        <v>2</v>
      </c>
      <c r="C6" s="2" t="s">
        <v>3</v>
      </c>
      <c r="D6" s="2" t="s">
        <v>4</v>
      </c>
      <c r="E6" s="2" t="s">
        <v>5</v>
      </c>
    </row>
    <row r="7" spans="1:5" x14ac:dyDescent="0.25">
      <c r="A7" s="3" t="s">
        <v>6</v>
      </c>
      <c r="B7" s="4"/>
      <c r="C7" s="4"/>
      <c r="D7" s="4"/>
      <c r="E7" s="4"/>
    </row>
    <row r="8" spans="1:5" x14ac:dyDescent="0.25">
      <c r="A8" s="3" t="s">
        <v>7</v>
      </c>
      <c r="B8" s="4"/>
      <c r="C8" s="4"/>
      <c r="D8" s="5">
        <f t="shared" ref="D8:D30" si="0">(B8)-(C8)</f>
        <v>0</v>
      </c>
      <c r="E8" s="6" t="str">
        <f t="shared" ref="E8:E30" si="1">IF(C8=0,"",(B8)/(C8))</f>
        <v/>
      </c>
    </row>
    <row r="9" spans="1:5" x14ac:dyDescent="0.25">
      <c r="A9" s="3" t="s">
        <v>8</v>
      </c>
      <c r="B9" s="5">
        <f>281890.02</f>
        <v>281890.02</v>
      </c>
      <c r="C9" s="5">
        <f>380000</f>
        <v>380000</v>
      </c>
      <c r="D9" s="5">
        <f t="shared" si="0"/>
        <v>-98109.979999999981</v>
      </c>
      <c r="E9" s="6">
        <f t="shared" si="1"/>
        <v>0.74181584210526319</v>
      </c>
    </row>
    <row r="10" spans="1:5" x14ac:dyDescent="0.25">
      <c r="A10" s="3" t="s">
        <v>9</v>
      </c>
      <c r="B10" s="5">
        <f>11390</f>
        <v>11390</v>
      </c>
      <c r="C10" s="5">
        <f>22000</f>
        <v>22000</v>
      </c>
      <c r="D10" s="5">
        <f t="shared" si="0"/>
        <v>-10610</v>
      </c>
      <c r="E10" s="6">
        <f t="shared" si="1"/>
        <v>0.5177272727272727</v>
      </c>
    </row>
    <row r="11" spans="1:5" x14ac:dyDescent="0.25">
      <c r="A11" s="3" t="s">
        <v>10</v>
      </c>
      <c r="B11" s="5">
        <f>120000</f>
        <v>120000</v>
      </c>
      <c r="C11" s="5">
        <f>120000</f>
        <v>120000</v>
      </c>
      <c r="D11" s="5">
        <f t="shared" si="0"/>
        <v>0</v>
      </c>
      <c r="E11" s="6">
        <f t="shared" si="1"/>
        <v>1</v>
      </c>
    </row>
    <row r="12" spans="1:5" x14ac:dyDescent="0.25">
      <c r="A12" s="3" t="s">
        <v>11</v>
      </c>
      <c r="B12" s="5">
        <f>54206.78</f>
        <v>54206.78</v>
      </c>
      <c r="C12" s="5">
        <f>54242</f>
        <v>54242</v>
      </c>
      <c r="D12" s="5">
        <f t="shared" si="0"/>
        <v>-35.220000000001164</v>
      </c>
      <c r="E12" s="6">
        <f t="shared" si="1"/>
        <v>0.99935068765900958</v>
      </c>
    </row>
    <row r="13" spans="1:5" x14ac:dyDescent="0.25">
      <c r="A13" s="3" t="s">
        <v>12</v>
      </c>
      <c r="B13" s="4"/>
      <c r="C13" s="5">
        <f>3000</f>
        <v>3000</v>
      </c>
      <c r="D13" s="5">
        <f t="shared" si="0"/>
        <v>-3000</v>
      </c>
      <c r="E13" s="6">
        <f t="shared" si="1"/>
        <v>0</v>
      </c>
    </row>
    <row r="14" spans="1:5" x14ac:dyDescent="0.25">
      <c r="A14" s="3" t="s">
        <v>13</v>
      </c>
      <c r="B14" s="4"/>
      <c r="C14" s="5">
        <f>28100</f>
        <v>28100</v>
      </c>
      <c r="D14" s="5">
        <f t="shared" si="0"/>
        <v>-28100</v>
      </c>
      <c r="E14" s="6">
        <f t="shared" si="1"/>
        <v>0</v>
      </c>
    </row>
    <row r="15" spans="1:5" x14ac:dyDescent="0.25">
      <c r="A15" s="3" t="s">
        <v>14</v>
      </c>
      <c r="B15" s="7">
        <f>((((((B8)+(B9))+(B10))+(B11))+(B12))+(B13))+(B14)</f>
        <v>467486.80000000005</v>
      </c>
      <c r="C15" s="7">
        <f>((((((C8)+(C9))+(C10))+(C11))+(C12))+(C13))+(C14)</f>
        <v>607342</v>
      </c>
      <c r="D15" s="7">
        <f t="shared" si="0"/>
        <v>-139855.19999999995</v>
      </c>
      <c r="E15" s="8">
        <f t="shared" si="1"/>
        <v>0.76972578876481468</v>
      </c>
    </row>
    <row r="16" spans="1:5" x14ac:dyDescent="0.25">
      <c r="A16" s="3" t="s">
        <v>15</v>
      </c>
      <c r="B16" s="4"/>
      <c r="C16" s="4"/>
      <c r="D16" s="5">
        <f t="shared" si="0"/>
        <v>0</v>
      </c>
      <c r="E16" s="6" t="str">
        <f t="shared" si="1"/>
        <v/>
      </c>
    </row>
    <row r="17" spans="1:11" x14ac:dyDescent="0.25">
      <c r="A17" s="3" t="s">
        <v>16</v>
      </c>
      <c r="B17" s="5">
        <f>-125</f>
        <v>-125</v>
      </c>
      <c r="C17" s="5">
        <f>500</f>
        <v>500</v>
      </c>
      <c r="D17" s="5">
        <f t="shared" si="0"/>
        <v>-625</v>
      </c>
      <c r="E17" s="6">
        <f t="shared" si="1"/>
        <v>-0.25</v>
      </c>
    </row>
    <row r="18" spans="1:11" x14ac:dyDescent="0.25">
      <c r="A18" s="3" t="s">
        <v>17</v>
      </c>
      <c r="B18" s="7">
        <f>(B16)+(B17)</f>
        <v>-125</v>
      </c>
      <c r="C18" s="7">
        <f>(C16)+(C17)</f>
        <v>500</v>
      </c>
      <c r="D18" s="7">
        <f t="shared" si="0"/>
        <v>-625</v>
      </c>
      <c r="E18" s="8">
        <f t="shared" si="1"/>
        <v>-0.25</v>
      </c>
    </row>
    <row r="19" spans="1:11" x14ac:dyDescent="0.25">
      <c r="A19" s="3" t="s">
        <v>18</v>
      </c>
      <c r="B19" s="4"/>
      <c r="C19" s="4"/>
      <c r="D19" s="5">
        <f t="shared" si="0"/>
        <v>0</v>
      </c>
      <c r="E19" s="6" t="str">
        <f t="shared" si="1"/>
        <v/>
      </c>
    </row>
    <row r="20" spans="1:11" x14ac:dyDescent="0.25">
      <c r="A20" s="3" t="s">
        <v>19</v>
      </c>
      <c r="B20" s="5">
        <f>950</f>
        <v>950</v>
      </c>
      <c r="C20" s="5">
        <f>150</f>
        <v>150</v>
      </c>
      <c r="D20" s="5">
        <f t="shared" si="0"/>
        <v>800</v>
      </c>
      <c r="E20" s="6">
        <f t="shared" si="1"/>
        <v>6.333333333333333</v>
      </c>
      <c r="F20" s="9" t="s">
        <v>114</v>
      </c>
      <c r="G20" s="9"/>
      <c r="H20" s="9"/>
      <c r="I20" s="9"/>
      <c r="J20" s="9"/>
      <c r="K20" s="25"/>
    </row>
    <row r="21" spans="1:11" x14ac:dyDescent="0.25">
      <c r="A21" s="3" t="s">
        <v>20</v>
      </c>
      <c r="B21" s="5">
        <f>4140</f>
        <v>4140</v>
      </c>
      <c r="C21" s="5">
        <f>6000</f>
        <v>6000</v>
      </c>
      <c r="D21" s="5">
        <f t="shared" si="0"/>
        <v>-1860</v>
      </c>
      <c r="E21" s="6">
        <f t="shared" si="1"/>
        <v>0.69</v>
      </c>
      <c r="F21" s="25"/>
      <c r="G21" s="25"/>
      <c r="H21" s="25"/>
      <c r="I21" s="25"/>
      <c r="J21" s="25"/>
      <c r="K21" s="25"/>
    </row>
    <row r="22" spans="1:11" x14ac:dyDescent="0.25">
      <c r="A22" s="3" t="s">
        <v>21</v>
      </c>
      <c r="B22" s="7">
        <f>((B19)+(B20))+(B21)</f>
        <v>5090</v>
      </c>
      <c r="C22" s="7">
        <f>((C19)+(C20))+(C21)</f>
        <v>6150</v>
      </c>
      <c r="D22" s="7">
        <f t="shared" si="0"/>
        <v>-1060</v>
      </c>
      <c r="E22" s="8">
        <f t="shared" si="1"/>
        <v>0.82764227642276422</v>
      </c>
    </row>
    <row r="23" spans="1:11" x14ac:dyDescent="0.25">
      <c r="A23" s="3" t="s">
        <v>22</v>
      </c>
      <c r="B23" s="4"/>
      <c r="C23" s="4"/>
      <c r="D23" s="5">
        <f t="shared" si="0"/>
        <v>0</v>
      </c>
      <c r="E23" s="6" t="str">
        <f t="shared" si="1"/>
        <v/>
      </c>
    </row>
    <row r="24" spans="1:11" x14ac:dyDescent="0.25">
      <c r="A24" s="3" t="s">
        <v>23</v>
      </c>
      <c r="B24" s="4"/>
      <c r="C24" s="5">
        <f>2000</f>
        <v>2000</v>
      </c>
      <c r="D24" s="5">
        <f t="shared" si="0"/>
        <v>-2000</v>
      </c>
      <c r="E24" s="6">
        <f t="shared" si="1"/>
        <v>0</v>
      </c>
    </row>
    <row r="25" spans="1:11" x14ac:dyDescent="0.25">
      <c r="A25" s="3" t="s">
        <v>24</v>
      </c>
      <c r="B25" s="5">
        <f>28060</f>
        <v>28060</v>
      </c>
      <c r="C25" s="5">
        <f>58000</f>
        <v>58000</v>
      </c>
      <c r="D25" s="5">
        <f t="shared" si="0"/>
        <v>-29940</v>
      </c>
      <c r="E25" s="6">
        <f t="shared" si="1"/>
        <v>0.48379310344827586</v>
      </c>
    </row>
    <row r="26" spans="1:11" x14ac:dyDescent="0.25">
      <c r="A26" s="3" t="s">
        <v>25</v>
      </c>
      <c r="B26" s="7">
        <f>((B23)+(B24))+(B25)</f>
        <v>28060</v>
      </c>
      <c r="C26" s="7">
        <f>((C23)+(C24))+(C25)</f>
        <v>60000</v>
      </c>
      <c r="D26" s="7">
        <f t="shared" si="0"/>
        <v>-31940</v>
      </c>
      <c r="E26" s="8">
        <f t="shared" si="1"/>
        <v>0.46766666666666667</v>
      </c>
    </row>
    <row r="27" spans="1:11" x14ac:dyDescent="0.25">
      <c r="A27" s="3" t="s">
        <v>26</v>
      </c>
      <c r="B27" s="5">
        <f>6000</f>
        <v>6000</v>
      </c>
      <c r="C27" s="4"/>
      <c r="D27" s="5">
        <f t="shared" si="0"/>
        <v>6000</v>
      </c>
      <c r="E27" s="6" t="str">
        <f t="shared" si="1"/>
        <v/>
      </c>
    </row>
    <row r="28" spans="1:11" x14ac:dyDescent="0.25">
      <c r="A28" s="3" t="s">
        <v>27</v>
      </c>
      <c r="B28" s="5">
        <f>14.06</f>
        <v>14.06</v>
      </c>
      <c r="C28" s="4"/>
      <c r="D28" s="5">
        <f t="shared" si="0"/>
        <v>14.06</v>
      </c>
      <c r="E28" s="6" t="str">
        <f t="shared" si="1"/>
        <v/>
      </c>
    </row>
    <row r="29" spans="1:11" x14ac:dyDescent="0.25">
      <c r="A29" s="3" t="s">
        <v>28</v>
      </c>
      <c r="B29" s="7">
        <f>(((((B15)+(B18))+(B22))+(B26))+(B27))+(B28)</f>
        <v>506525.86000000004</v>
      </c>
      <c r="C29" s="7">
        <f>(((((C15)+(C18))+(C22))+(C26))+(C27))+(C28)</f>
        <v>673992</v>
      </c>
      <c r="D29" s="7">
        <f t="shared" si="0"/>
        <v>-167466.13999999996</v>
      </c>
      <c r="E29" s="8">
        <f t="shared" si="1"/>
        <v>0.75153096772661998</v>
      </c>
    </row>
    <row r="30" spans="1:11" x14ac:dyDescent="0.25">
      <c r="A30" s="3" t="s">
        <v>29</v>
      </c>
      <c r="B30" s="7">
        <f>(B29)-(0)</f>
        <v>506525.86000000004</v>
      </c>
      <c r="C30" s="7">
        <f>(C29)-(0)</f>
        <v>673992</v>
      </c>
      <c r="D30" s="7">
        <f t="shared" si="0"/>
        <v>-167466.13999999996</v>
      </c>
      <c r="E30" s="8">
        <f t="shared" si="1"/>
        <v>0.75153096772661998</v>
      </c>
    </row>
    <row r="31" spans="1:11" x14ac:dyDescent="0.25">
      <c r="A31" s="3" t="s">
        <v>30</v>
      </c>
      <c r="B31" s="4"/>
      <c r="C31" s="4"/>
      <c r="D31" s="4"/>
      <c r="E31" s="4"/>
    </row>
    <row r="32" spans="1:11" x14ac:dyDescent="0.25">
      <c r="A32" s="3" t="s">
        <v>31</v>
      </c>
      <c r="B32" s="4"/>
      <c r="C32" s="4"/>
      <c r="D32" s="5">
        <f t="shared" ref="D32:D63" si="2">(B32)-(C32)</f>
        <v>0</v>
      </c>
      <c r="E32" s="6" t="str">
        <f t="shared" ref="E32:E63" si="3">IF(C32=0,"",(B32)/(C32))</f>
        <v/>
      </c>
    </row>
    <row r="33" spans="1:5" x14ac:dyDescent="0.25">
      <c r="A33" s="3" t="s">
        <v>32</v>
      </c>
      <c r="B33" s="5">
        <f>49500</f>
        <v>49500</v>
      </c>
      <c r="C33" s="5">
        <f>66000</f>
        <v>66000</v>
      </c>
      <c r="D33" s="5">
        <f t="shared" si="2"/>
        <v>-16500</v>
      </c>
      <c r="E33" s="6">
        <f t="shared" si="3"/>
        <v>0.75</v>
      </c>
    </row>
    <row r="34" spans="1:5" x14ac:dyDescent="0.25">
      <c r="A34" s="3" t="s">
        <v>33</v>
      </c>
      <c r="B34" s="4"/>
      <c r="C34" s="5">
        <f>650</f>
        <v>650</v>
      </c>
      <c r="D34" s="5">
        <f t="shared" si="2"/>
        <v>-650</v>
      </c>
      <c r="E34" s="6">
        <f t="shared" si="3"/>
        <v>0</v>
      </c>
    </row>
    <row r="35" spans="1:5" x14ac:dyDescent="0.25">
      <c r="A35" s="3" t="s">
        <v>34</v>
      </c>
      <c r="B35" s="4"/>
      <c r="C35" s="5">
        <f>10000</f>
        <v>10000</v>
      </c>
      <c r="D35" s="5">
        <f t="shared" si="2"/>
        <v>-10000</v>
      </c>
      <c r="E35" s="6">
        <f t="shared" si="3"/>
        <v>0</v>
      </c>
    </row>
    <row r="36" spans="1:5" x14ac:dyDescent="0.25">
      <c r="A36" s="3" t="s">
        <v>35</v>
      </c>
      <c r="B36" s="5">
        <f>-1507.63</f>
        <v>-1507.63</v>
      </c>
      <c r="C36" s="5">
        <f>1000</f>
        <v>1000</v>
      </c>
      <c r="D36" s="5">
        <f t="shared" si="2"/>
        <v>-2507.63</v>
      </c>
      <c r="E36" s="6">
        <f t="shared" si="3"/>
        <v>-1.50763</v>
      </c>
    </row>
    <row r="37" spans="1:5" x14ac:dyDescent="0.25">
      <c r="A37" s="3" t="s">
        <v>36</v>
      </c>
      <c r="B37" s="5">
        <f>17472.43</f>
        <v>17472.43</v>
      </c>
      <c r="C37" s="5">
        <f>18000</f>
        <v>18000</v>
      </c>
      <c r="D37" s="5">
        <f t="shared" si="2"/>
        <v>-527.56999999999971</v>
      </c>
      <c r="E37" s="6">
        <f t="shared" si="3"/>
        <v>0.97069055555555561</v>
      </c>
    </row>
    <row r="38" spans="1:5" x14ac:dyDescent="0.25">
      <c r="A38" s="3" t="s">
        <v>37</v>
      </c>
      <c r="B38" s="5">
        <f>900</f>
        <v>900</v>
      </c>
      <c r="C38" s="5">
        <f>1300</f>
        <v>1300</v>
      </c>
      <c r="D38" s="5">
        <f t="shared" si="2"/>
        <v>-400</v>
      </c>
      <c r="E38" s="6">
        <f t="shared" si="3"/>
        <v>0.69230769230769229</v>
      </c>
    </row>
    <row r="39" spans="1:5" x14ac:dyDescent="0.25">
      <c r="A39" s="3" t="s">
        <v>38</v>
      </c>
      <c r="B39" s="5">
        <f>616.61</f>
        <v>616.61</v>
      </c>
      <c r="C39" s="5">
        <f>1600</f>
        <v>1600</v>
      </c>
      <c r="D39" s="5">
        <f t="shared" si="2"/>
        <v>-983.39</v>
      </c>
      <c r="E39" s="6">
        <f t="shared" si="3"/>
        <v>0.38538125000000001</v>
      </c>
    </row>
    <row r="40" spans="1:5" x14ac:dyDescent="0.25">
      <c r="A40" s="3" t="s">
        <v>39</v>
      </c>
      <c r="B40" s="5">
        <f>169.1</f>
        <v>169.1</v>
      </c>
      <c r="C40" s="5">
        <f>700</f>
        <v>700</v>
      </c>
      <c r="D40" s="5">
        <f t="shared" si="2"/>
        <v>-530.9</v>
      </c>
      <c r="E40" s="6">
        <f t="shared" si="3"/>
        <v>0.24157142857142858</v>
      </c>
    </row>
    <row r="41" spans="1:5" x14ac:dyDescent="0.25">
      <c r="A41" s="3" t="s">
        <v>40</v>
      </c>
      <c r="B41" s="4"/>
      <c r="C41" s="5">
        <f>60</f>
        <v>60</v>
      </c>
      <c r="D41" s="5">
        <f t="shared" si="2"/>
        <v>-60</v>
      </c>
      <c r="E41" s="6">
        <f t="shared" si="3"/>
        <v>0</v>
      </c>
    </row>
    <row r="42" spans="1:5" x14ac:dyDescent="0.25">
      <c r="A42" s="3" t="s">
        <v>41</v>
      </c>
      <c r="B42" s="5">
        <f>1575</f>
        <v>1575</v>
      </c>
      <c r="C42" s="5">
        <f>2100</f>
        <v>2100</v>
      </c>
      <c r="D42" s="5">
        <f t="shared" si="2"/>
        <v>-525</v>
      </c>
      <c r="E42" s="6">
        <f t="shared" si="3"/>
        <v>0.75</v>
      </c>
    </row>
    <row r="43" spans="1:5" x14ac:dyDescent="0.25">
      <c r="A43" s="3" t="s">
        <v>42</v>
      </c>
      <c r="B43" s="5">
        <f>2554.32</f>
        <v>2554.3200000000002</v>
      </c>
      <c r="C43" s="5">
        <f>4000</f>
        <v>4000</v>
      </c>
      <c r="D43" s="5">
        <f t="shared" si="2"/>
        <v>-1445.6799999999998</v>
      </c>
      <c r="E43" s="6">
        <f t="shared" si="3"/>
        <v>0.63858000000000004</v>
      </c>
    </row>
    <row r="44" spans="1:5" x14ac:dyDescent="0.25">
      <c r="A44" s="3" t="s">
        <v>43</v>
      </c>
      <c r="B44" s="5">
        <f>20250</f>
        <v>20250</v>
      </c>
      <c r="C44" s="5">
        <f>27000</f>
        <v>27000</v>
      </c>
      <c r="D44" s="5">
        <f t="shared" si="2"/>
        <v>-6750</v>
      </c>
      <c r="E44" s="6">
        <f t="shared" si="3"/>
        <v>0.75</v>
      </c>
    </row>
    <row r="45" spans="1:5" x14ac:dyDescent="0.25">
      <c r="A45" s="3" t="s">
        <v>44</v>
      </c>
      <c r="B45" s="5">
        <f>27374.94</f>
        <v>27374.94</v>
      </c>
      <c r="C45" s="5">
        <f>36500</f>
        <v>36500</v>
      </c>
      <c r="D45" s="5">
        <f t="shared" si="2"/>
        <v>-9125.0600000000013</v>
      </c>
      <c r="E45" s="6">
        <f t="shared" si="3"/>
        <v>0.74999835616438348</v>
      </c>
    </row>
    <row r="46" spans="1:5" x14ac:dyDescent="0.25">
      <c r="A46" s="3" t="s">
        <v>45</v>
      </c>
      <c r="B46" s="5">
        <f>86.48</f>
        <v>86.48</v>
      </c>
      <c r="C46" s="5">
        <f>115</f>
        <v>115</v>
      </c>
      <c r="D46" s="5">
        <f t="shared" si="2"/>
        <v>-28.519999999999996</v>
      </c>
      <c r="E46" s="6">
        <f t="shared" si="3"/>
        <v>0.752</v>
      </c>
    </row>
    <row r="47" spans="1:5" x14ac:dyDescent="0.25">
      <c r="A47" s="3" t="s">
        <v>46</v>
      </c>
      <c r="B47" s="7">
        <f>((((((((((((((B32)+(B33))+(B34))+(B35))+(B36))+(B37))+(B38))+(B39))+(B40))+(B41))+(B42))+(B43))+(B44))+(B45))+(B46)</f>
        <v>118991.25000000001</v>
      </c>
      <c r="C47" s="7">
        <f>((((((((((((((C32)+(C33))+(C34))+(C35))+(C36))+(C37))+(C38))+(C39))+(C40))+(C41))+(C42))+(C43))+(C44))+(C45))+(C46)</f>
        <v>169025</v>
      </c>
      <c r="D47" s="7">
        <f t="shared" si="2"/>
        <v>-50033.749999999985</v>
      </c>
      <c r="E47" s="8">
        <f t="shared" si="3"/>
        <v>0.7039860967312529</v>
      </c>
    </row>
    <row r="48" spans="1:5" x14ac:dyDescent="0.25">
      <c r="A48" s="3" t="s">
        <v>47</v>
      </c>
      <c r="B48" s="4"/>
      <c r="C48" s="4"/>
      <c r="D48" s="5">
        <f t="shared" si="2"/>
        <v>0</v>
      </c>
      <c r="E48" s="6" t="str">
        <f t="shared" si="3"/>
        <v/>
      </c>
    </row>
    <row r="49" spans="1:5" x14ac:dyDescent="0.25">
      <c r="A49" s="3" t="s">
        <v>48</v>
      </c>
      <c r="B49" s="5">
        <f>96.46</f>
        <v>96.46</v>
      </c>
      <c r="C49" s="5">
        <f>100</f>
        <v>100</v>
      </c>
      <c r="D49" s="5">
        <f t="shared" si="2"/>
        <v>-3.5400000000000063</v>
      </c>
      <c r="E49" s="6">
        <f t="shared" si="3"/>
        <v>0.9645999999999999</v>
      </c>
    </row>
    <row r="50" spans="1:5" x14ac:dyDescent="0.25">
      <c r="A50" s="3" t="s">
        <v>49</v>
      </c>
      <c r="B50" s="7">
        <f>(B48)+(B49)</f>
        <v>96.46</v>
      </c>
      <c r="C50" s="7">
        <f>(C48)+(C49)</f>
        <v>100</v>
      </c>
      <c r="D50" s="7">
        <f t="shared" si="2"/>
        <v>-3.5400000000000063</v>
      </c>
      <c r="E50" s="8">
        <f t="shared" si="3"/>
        <v>0.9645999999999999</v>
      </c>
    </row>
    <row r="51" spans="1:5" x14ac:dyDescent="0.25">
      <c r="A51" s="3" t="s">
        <v>50</v>
      </c>
      <c r="B51" s="4"/>
      <c r="C51" s="4"/>
      <c r="D51" s="5">
        <f t="shared" si="2"/>
        <v>0</v>
      </c>
      <c r="E51" s="6" t="str">
        <f t="shared" si="3"/>
        <v/>
      </c>
    </row>
    <row r="52" spans="1:5" x14ac:dyDescent="0.25">
      <c r="A52" s="3" t="s">
        <v>51</v>
      </c>
      <c r="B52" s="5">
        <f>72000</f>
        <v>72000</v>
      </c>
      <c r="C52" s="5">
        <f>96000</f>
        <v>96000</v>
      </c>
      <c r="D52" s="5">
        <f t="shared" si="2"/>
        <v>-24000</v>
      </c>
      <c r="E52" s="6">
        <f t="shared" si="3"/>
        <v>0.75</v>
      </c>
    </row>
    <row r="53" spans="1:5" x14ac:dyDescent="0.25">
      <c r="A53" s="3" t="s">
        <v>52</v>
      </c>
      <c r="B53" s="5">
        <f>653.92</f>
        <v>653.91999999999996</v>
      </c>
      <c r="C53" s="5">
        <f>1000</f>
        <v>1000</v>
      </c>
      <c r="D53" s="5">
        <f t="shared" si="2"/>
        <v>-346.08000000000004</v>
      </c>
      <c r="E53" s="6">
        <f t="shared" si="3"/>
        <v>0.65391999999999995</v>
      </c>
    </row>
    <row r="54" spans="1:5" x14ac:dyDescent="0.25">
      <c r="A54" s="3" t="s">
        <v>53</v>
      </c>
      <c r="B54" s="5">
        <f>35.46</f>
        <v>35.46</v>
      </c>
      <c r="C54" s="5">
        <f>100</f>
        <v>100</v>
      </c>
      <c r="D54" s="5">
        <f t="shared" si="2"/>
        <v>-64.539999999999992</v>
      </c>
      <c r="E54" s="6">
        <f t="shared" si="3"/>
        <v>0.35460000000000003</v>
      </c>
    </row>
    <row r="55" spans="1:5" x14ac:dyDescent="0.25">
      <c r="A55" s="3" t="s">
        <v>54</v>
      </c>
      <c r="B55" s="7">
        <f>(((B51)+(B52))+(B53))+(B54)</f>
        <v>72689.38</v>
      </c>
      <c r="C55" s="7">
        <f>(((C51)+(C52))+(C53))+(C54)</f>
        <v>97100</v>
      </c>
      <c r="D55" s="7">
        <f t="shared" si="2"/>
        <v>-24410.619999999995</v>
      </c>
      <c r="E55" s="8">
        <f t="shared" si="3"/>
        <v>0.74860329557157579</v>
      </c>
    </row>
    <row r="56" spans="1:5" x14ac:dyDescent="0.25">
      <c r="A56" s="3" t="s">
        <v>55</v>
      </c>
      <c r="B56" s="4"/>
      <c r="C56" s="4"/>
      <c r="D56" s="5">
        <f t="shared" si="2"/>
        <v>0</v>
      </c>
      <c r="E56" s="6" t="str">
        <f t="shared" si="3"/>
        <v/>
      </c>
    </row>
    <row r="57" spans="1:5" x14ac:dyDescent="0.25">
      <c r="A57" s="3" t="s">
        <v>56</v>
      </c>
      <c r="B57" s="4"/>
      <c r="C57" s="5">
        <f>1500</f>
        <v>1500</v>
      </c>
      <c r="D57" s="5">
        <f t="shared" si="2"/>
        <v>-1500</v>
      </c>
      <c r="E57" s="6">
        <f t="shared" si="3"/>
        <v>0</v>
      </c>
    </row>
    <row r="58" spans="1:5" x14ac:dyDescent="0.25">
      <c r="A58" s="3" t="s">
        <v>57</v>
      </c>
      <c r="B58" s="5">
        <f>3307.97</f>
        <v>3307.97</v>
      </c>
      <c r="C58" s="5">
        <f>6000</f>
        <v>6000</v>
      </c>
      <c r="D58" s="5">
        <f t="shared" si="2"/>
        <v>-2692.03</v>
      </c>
      <c r="E58" s="6">
        <f t="shared" si="3"/>
        <v>0.55132833333333331</v>
      </c>
    </row>
    <row r="59" spans="1:5" x14ac:dyDescent="0.25">
      <c r="A59" s="3" t="s">
        <v>58</v>
      </c>
      <c r="B59" s="4"/>
      <c r="C59" s="5">
        <f>200</f>
        <v>200</v>
      </c>
      <c r="D59" s="5">
        <f t="shared" si="2"/>
        <v>-200</v>
      </c>
      <c r="E59" s="6">
        <f t="shared" si="3"/>
        <v>0</v>
      </c>
    </row>
    <row r="60" spans="1:5" x14ac:dyDescent="0.25">
      <c r="A60" s="3" t="s">
        <v>59</v>
      </c>
      <c r="B60" s="7">
        <f>(((B56)+(B57))+(B58))+(B59)</f>
        <v>3307.97</v>
      </c>
      <c r="C60" s="7">
        <f>(((C56)+(C57))+(C58))+(C59)</f>
        <v>7700</v>
      </c>
      <c r="D60" s="7">
        <f t="shared" si="2"/>
        <v>-4392.0300000000007</v>
      </c>
      <c r="E60" s="8">
        <f t="shared" si="3"/>
        <v>0.42960649350649349</v>
      </c>
    </row>
    <row r="61" spans="1:5" x14ac:dyDescent="0.25">
      <c r="A61" s="3" t="s">
        <v>60</v>
      </c>
      <c r="B61" s="4"/>
      <c r="C61" s="4"/>
      <c r="D61" s="5">
        <f t="shared" si="2"/>
        <v>0</v>
      </c>
      <c r="E61" s="6" t="str">
        <f t="shared" si="3"/>
        <v/>
      </c>
    </row>
    <row r="62" spans="1:5" x14ac:dyDescent="0.25">
      <c r="A62" s="3" t="s">
        <v>61</v>
      </c>
      <c r="B62" s="4"/>
      <c r="C62" s="5">
        <f>250</f>
        <v>250</v>
      </c>
      <c r="D62" s="5">
        <f t="shared" si="2"/>
        <v>-250</v>
      </c>
      <c r="E62" s="6">
        <f t="shared" si="3"/>
        <v>0</v>
      </c>
    </row>
    <row r="63" spans="1:5" x14ac:dyDescent="0.25">
      <c r="A63" s="3" t="s">
        <v>62</v>
      </c>
      <c r="B63" s="5">
        <f>7499.9</f>
        <v>7499.9</v>
      </c>
      <c r="C63" s="5">
        <f>10000</f>
        <v>10000</v>
      </c>
      <c r="D63" s="5">
        <f t="shared" si="2"/>
        <v>-2500.1000000000004</v>
      </c>
      <c r="E63" s="6">
        <f t="shared" si="3"/>
        <v>0.74998999999999993</v>
      </c>
    </row>
    <row r="64" spans="1:5" x14ac:dyDescent="0.25">
      <c r="A64" s="3" t="s">
        <v>63</v>
      </c>
      <c r="B64" s="5">
        <f>3750.03</f>
        <v>3750.03</v>
      </c>
      <c r="C64" s="5">
        <f>5000</f>
        <v>5000</v>
      </c>
      <c r="D64" s="5">
        <f t="shared" ref="D64:D95" si="4">(B64)-(C64)</f>
        <v>-1249.9699999999998</v>
      </c>
      <c r="E64" s="6">
        <f t="shared" ref="E64:E95" si="5">IF(C64=0,"",(B64)/(C64))</f>
        <v>0.75000600000000006</v>
      </c>
    </row>
    <row r="65" spans="1:13" x14ac:dyDescent="0.25">
      <c r="A65" s="3" t="s">
        <v>64</v>
      </c>
      <c r="B65" s="5">
        <f>23024.97</f>
        <v>23024.97</v>
      </c>
      <c r="C65" s="5">
        <f>29200</f>
        <v>29200</v>
      </c>
      <c r="D65" s="5">
        <f t="shared" si="4"/>
        <v>-6175.0299999999988</v>
      </c>
      <c r="E65" s="6">
        <f t="shared" si="5"/>
        <v>0.78852636986301372</v>
      </c>
    </row>
    <row r="66" spans="1:13" x14ac:dyDescent="0.25">
      <c r="A66" s="3" t="s">
        <v>65</v>
      </c>
      <c r="B66" s="5">
        <f>2270</f>
        <v>2270</v>
      </c>
      <c r="C66" s="5">
        <f>2100</f>
        <v>2100</v>
      </c>
      <c r="D66" s="5">
        <f t="shared" si="4"/>
        <v>170</v>
      </c>
      <c r="E66" s="6">
        <f t="shared" si="5"/>
        <v>1.0809523809523809</v>
      </c>
      <c r="F66" s="9" t="s">
        <v>116</v>
      </c>
      <c r="G66" s="10"/>
      <c r="H66" s="10"/>
      <c r="I66" s="10"/>
      <c r="J66" s="10"/>
      <c r="K66" s="10"/>
    </row>
    <row r="67" spans="1:13" x14ac:dyDescent="0.25">
      <c r="A67" s="3" t="s">
        <v>66</v>
      </c>
      <c r="B67" s="5">
        <f>3749.94</f>
        <v>3749.94</v>
      </c>
      <c r="C67" s="5">
        <f>5000</f>
        <v>5000</v>
      </c>
      <c r="D67" s="5">
        <f t="shared" si="4"/>
        <v>-1250.06</v>
      </c>
      <c r="E67" s="6">
        <f t="shared" si="5"/>
        <v>0.74998799999999999</v>
      </c>
    </row>
    <row r="68" spans="1:13" x14ac:dyDescent="0.25">
      <c r="A68" s="3" t="s">
        <v>67</v>
      </c>
      <c r="B68" s="5">
        <f>3749.96</f>
        <v>3749.96</v>
      </c>
      <c r="C68" s="5">
        <f>5000</f>
        <v>5000</v>
      </c>
      <c r="D68" s="5">
        <f t="shared" si="4"/>
        <v>-1250.04</v>
      </c>
      <c r="E68" s="6">
        <f t="shared" si="5"/>
        <v>0.74999199999999999</v>
      </c>
    </row>
    <row r="69" spans="1:13" x14ac:dyDescent="0.25">
      <c r="A69" s="3" t="s">
        <v>68</v>
      </c>
      <c r="B69" s="5">
        <f>5395.88</f>
        <v>5395.88</v>
      </c>
      <c r="C69" s="5">
        <f>8750</f>
        <v>8750</v>
      </c>
      <c r="D69" s="5">
        <f t="shared" si="4"/>
        <v>-3354.12</v>
      </c>
      <c r="E69" s="6">
        <f t="shared" si="5"/>
        <v>0.616672</v>
      </c>
    </row>
    <row r="70" spans="1:13" x14ac:dyDescent="0.25">
      <c r="A70" s="3" t="s">
        <v>69</v>
      </c>
      <c r="B70" s="5">
        <f>13240.48</f>
        <v>13240.48</v>
      </c>
      <c r="C70" s="5">
        <f>7400</f>
        <v>7400</v>
      </c>
      <c r="D70" s="5">
        <f t="shared" si="4"/>
        <v>5840.48</v>
      </c>
      <c r="E70" s="6">
        <f t="shared" si="5"/>
        <v>1.789254054054054</v>
      </c>
      <c r="F70" s="9" t="s">
        <v>115</v>
      </c>
      <c r="G70" s="9"/>
      <c r="H70" s="9"/>
      <c r="I70" s="9"/>
      <c r="J70" s="9"/>
      <c r="K70" s="9"/>
      <c r="L70" s="9"/>
      <c r="M70" s="9"/>
    </row>
    <row r="71" spans="1:13" x14ac:dyDescent="0.25">
      <c r="A71" s="3" t="s">
        <v>70</v>
      </c>
      <c r="B71" s="5">
        <f>216</f>
        <v>216</v>
      </c>
      <c r="C71" s="4"/>
      <c r="D71" s="5">
        <f t="shared" si="4"/>
        <v>216</v>
      </c>
      <c r="E71" s="6" t="str">
        <f t="shared" si="5"/>
        <v/>
      </c>
    </row>
    <row r="72" spans="1:13" x14ac:dyDescent="0.25">
      <c r="A72" s="3" t="s">
        <v>71</v>
      </c>
      <c r="B72" s="5">
        <f>384</f>
        <v>384</v>
      </c>
      <c r="C72" s="5">
        <f>400</f>
        <v>400</v>
      </c>
      <c r="D72" s="5">
        <f t="shared" si="4"/>
        <v>-16</v>
      </c>
      <c r="E72" s="6">
        <f t="shared" si="5"/>
        <v>0.96</v>
      </c>
    </row>
    <row r="73" spans="1:13" x14ac:dyDescent="0.25">
      <c r="A73" s="3" t="s">
        <v>72</v>
      </c>
      <c r="B73" s="7">
        <f>(((((((((((B61)+(B62))+(B63))+(B64))+(B65))+(B66))+(B67))+(B68))+(B69))+(B70))+(B71))+(B72)</f>
        <v>63281.16</v>
      </c>
      <c r="C73" s="7">
        <f>(((((((((((C61)+(C62))+(C63))+(C64))+(C65))+(C66))+(C67))+(C68))+(C69))+(C70))+(C71))+(C72)</f>
        <v>73100</v>
      </c>
      <c r="D73" s="7">
        <f t="shared" si="4"/>
        <v>-9818.8399999999965</v>
      </c>
      <c r="E73" s="8">
        <f t="shared" si="5"/>
        <v>0.8656793433652531</v>
      </c>
    </row>
    <row r="74" spans="1:13" x14ac:dyDescent="0.25">
      <c r="A74" s="3" t="s">
        <v>73</v>
      </c>
      <c r="B74" s="4"/>
      <c r="C74" s="4"/>
      <c r="D74" s="5">
        <f t="shared" si="4"/>
        <v>0</v>
      </c>
      <c r="E74" s="6" t="str">
        <f t="shared" si="5"/>
        <v/>
      </c>
    </row>
    <row r="75" spans="1:13" x14ac:dyDescent="0.25">
      <c r="A75" s="3" t="s">
        <v>74</v>
      </c>
      <c r="B75" s="5">
        <f>3955</f>
        <v>3955</v>
      </c>
      <c r="C75" s="5">
        <f>10000</f>
        <v>10000</v>
      </c>
      <c r="D75" s="5">
        <f t="shared" si="4"/>
        <v>-6045</v>
      </c>
      <c r="E75" s="6">
        <f t="shared" si="5"/>
        <v>0.39550000000000002</v>
      </c>
    </row>
    <row r="76" spans="1:13" x14ac:dyDescent="0.25">
      <c r="A76" s="3" t="s">
        <v>75</v>
      </c>
      <c r="B76" s="4"/>
      <c r="C76" s="5">
        <f>1500</f>
        <v>1500</v>
      </c>
      <c r="D76" s="5">
        <f t="shared" si="4"/>
        <v>-1500</v>
      </c>
      <c r="E76" s="6">
        <f t="shared" si="5"/>
        <v>0</v>
      </c>
    </row>
    <row r="77" spans="1:13" x14ac:dyDescent="0.25">
      <c r="A77" s="3" t="s">
        <v>76</v>
      </c>
      <c r="B77" s="5">
        <f>13332.4</f>
        <v>13332.4</v>
      </c>
      <c r="C77" s="5">
        <f>37000</f>
        <v>37000</v>
      </c>
      <c r="D77" s="5">
        <f t="shared" si="4"/>
        <v>-23667.599999999999</v>
      </c>
      <c r="E77" s="6">
        <f t="shared" si="5"/>
        <v>0.3603351351351351</v>
      </c>
    </row>
    <row r="78" spans="1:13" x14ac:dyDescent="0.25">
      <c r="A78" s="3" t="s">
        <v>77</v>
      </c>
      <c r="B78" s="5">
        <f>54000</f>
        <v>54000</v>
      </c>
      <c r="C78" s="4"/>
      <c r="D78" s="5">
        <f t="shared" si="4"/>
        <v>54000</v>
      </c>
      <c r="E78" s="6" t="str">
        <f t="shared" si="5"/>
        <v/>
      </c>
    </row>
    <row r="79" spans="1:13" x14ac:dyDescent="0.25">
      <c r="A79" s="3" t="s">
        <v>78</v>
      </c>
      <c r="B79" s="4"/>
      <c r="C79" s="5">
        <f>2000</f>
        <v>2000</v>
      </c>
      <c r="D79" s="5">
        <f t="shared" si="4"/>
        <v>-2000</v>
      </c>
      <c r="E79" s="6">
        <f t="shared" si="5"/>
        <v>0</v>
      </c>
    </row>
    <row r="80" spans="1:13" x14ac:dyDescent="0.25">
      <c r="A80" s="3" t="s">
        <v>79</v>
      </c>
      <c r="B80" s="4"/>
      <c r="C80" s="5">
        <f>1500</f>
        <v>1500</v>
      </c>
      <c r="D80" s="5">
        <f t="shared" si="4"/>
        <v>-1500</v>
      </c>
      <c r="E80" s="6">
        <f t="shared" si="5"/>
        <v>0</v>
      </c>
    </row>
    <row r="81" spans="1:5" x14ac:dyDescent="0.25">
      <c r="A81" s="3" t="s">
        <v>80</v>
      </c>
      <c r="B81" s="5">
        <f>210</f>
        <v>210</v>
      </c>
      <c r="C81" s="5">
        <f>420</f>
        <v>420</v>
      </c>
      <c r="D81" s="5">
        <f t="shared" si="4"/>
        <v>-210</v>
      </c>
      <c r="E81" s="6">
        <f t="shared" si="5"/>
        <v>0.5</v>
      </c>
    </row>
    <row r="82" spans="1:5" x14ac:dyDescent="0.25">
      <c r="A82" s="3" t="s">
        <v>81</v>
      </c>
      <c r="B82" s="5">
        <f>5000</f>
        <v>5000</v>
      </c>
      <c r="C82" s="5">
        <f>5054</f>
        <v>5054</v>
      </c>
      <c r="D82" s="5">
        <f t="shared" si="4"/>
        <v>-54</v>
      </c>
      <c r="E82" s="6">
        <f t="shared" si="5"/>
        <v>0.98931539374752675</v>
      </c>
    </row>
    <row r="83" spans="1:5" x14ac:dyDescent="0.25">
      <c r="A83" s="3" t="s">
        <v>82</v>
      </c>
      <c r="B83" s="7">
        <f>((((((((B74)+(B75))+(B76))+(B77))+(B78))+(B79))+(B80))+(B81))+(B82)</f>
        <v>76497.399999999994</v>
      </c>
      <c r="C83" s="7">
        <f>((((((((C74)+(C75))+(C76))+(C77))+(C78))+(C79))+(C80))+(C81))+(C82)</f>
        <v>57474</v>
      </c>
      <c r="D83" s="7">
        <f t="shared" si="4"/>
        <v>19023.399999999994</v>
      </c>
      <c r="E83" s="8">
        <f t="shared" si="5"/>
        <v>1.3309914048091309</v>
      </c>
    </row>
    <row r="84" spans="1:5" x14ac:dyDescent="0.25">
      <c r="A84" s="3" t="s">
        <v>83</v>
      </c>
      <c r="B84" s="4"/>
      <c r="C84" s="4"/>
      <c r="D84" s="5">
        <f t="shared" si="4"/>
        <v>0</v>
      </c>
      <c r="E84" s="6" t="str">
        <f t="shared" si="5"/>
        <v/>
      </c>
    </row>
    <row r="85" spans="1:5" x14ac:dyDescent="0.25">
      <c r="A85" s="3" t="s">
        <v>84</v>
      </c>
      <c r="B85" s="5">
        <f>47921.31</f>
        <v>47921.31</v>
      </c>
      <c r="C85" s="5">
        <f>64600</f>
        <v>64600</v>
      </c>
      <c r="D85" s="5">
        <f t="shared" si="4"/>
        <v>-16678.690000000002</v>
      </c>
      <c r="E85" s="6">
        <f t="shared" si="5"/>
        <v>0.74181594427244579</v>
      </c>
    </row>
    <row r="86" spans="1:5" x14ac:dyDescent="0.25">
      <c r="A86" s="3" t="s">
        <v>85</v>
      </c>
      <c r="B86" s="4"/>
      <c r="C86" s="5">
        <f>3250</f>
        <v>3250</v>
      </c>
      <c r="D86" s="5">
        <f t="shared" si="4"/>
        <v>-3250</v>
      </c>
      <c r="E86" s="6">
        <f t="shared" si="5"/>
        <v>0</v>
      </c>
    </row>
    <row r="87" spans="1:5" x14ac:dyDescent="0.25">
      <c r="A87" s="3" t="s">
        <v>86</v>
      </c>
      <c r="B87" s="5">
        <f>72000</f>
        <v>72000</v>
      </c>
      <c r="C87" s="5">
        <f>72000</f>
        <v>72000</v>
      </c>
      <c r="D87" s="5">
        <f t="shared" si="4"/>
        <v>0</v>
      </c>
      <c r="E87" s="6">
        <f t="shared" si="5"/>
        <v>1</v>
      </c>
    </row>
    <row r="88" spans="1:5" x14ac:dyDescent="0.25">
      <c r="A88" s="3" t="s">
        <v>87</v>
      </c>
      <c r="B88" s="4"/>
      <c r="C88" s="5">
        <f>3800</f>
        <v>3800</v>
      </c>
      <c r="D88" s="5">
        <f t="shared" si="4"/>
        <v>-3800</v>
      </c>
      <c r="E88" s="6">
        <f t="shared" si="5"/>
        <v>0</v>
      </c>
    </row>
    <row r="89" spans="1:5" x14ac:dyDescent="0.25">
      <c r="A89" s="3" t="s">
        <v>88</v>
      </c>
      <c r="B89" s="4"/>
      <c r="C89" s="5">
        <f>92</f>
        <v>92</v>
      </c>
      <c r="D89" s="5">
        <f t="shared" si="4"/>
        <v>-92</v>
      </c>
      <c r="E89" s="6">
        <f t="shared" si="5"/>
        <v>0</v>
      </c>
    </row>
    <row r="90" spans="1:5" x14ac:dyDescent="0.25">
      <c r="A90" s="3" t="s">
        <v>89</v>
      </c>
      <c r="B90" s="7">
        <f>(((((B84)+(B85))+(B86))+(B87))+(B88))+(B89)</f>
        <v>119921.31</v>
      </c>
      <c r="C90" s="7">
        <f>(((((C84)+(C85))+(C86))+(C87))+(C88))+(C89)</f>
        <v>143742</v>
      </c>
      <c r="D90" s="7">
        <f t="shared" si="4"/>
        <v>-23820.690000000002</v>
      </c>
      <c r="E90" s="8">
        <f t="shared" si="5"/>
        <v>0.83428162958634222</v>
      </c>
    </row>
    <row r="91" spans="1:5" x14ac:dyDescent="0.25">
      <c r="A91" s="3" t="s">
        <v>90</v>
      </c>
      <c r="B91" s="4"/>
      <c r="C91" s="4"/>
      <c r="D91" s="5">
        <f t="shared" si="4"/>
        <v>0</v>
      </c>
      <c r="E91" s="6" t="str">
        <f t="shared" si="5"/>
        <v/>
      </c>
    </row>
    <row r="92" spans="1:5" x14ac:dyDescent="0.25">
      <c r="A92" s="3" t="s">
        <v>91</v>
      </c>
      <c r="B92" s="5">
        <f>1000</f>
        <v>1000</v>
      </c>
      <c r="C92" s="5">
        <f>1000</f>
        <v>1000</v>
      </c>
      <c r="D92" s="5">
        <f t="shared" si="4"/>
        <v>0</v>
      </c>
      <c r="E92" s="6">
        <f t="shared" si="5"/>
        <v>1</v>
      </c>
    </row>
    <row r="93" spans="1:5" x14ac:dyDescent="0.25">
      <c r="A93" s="3" t="s">
        <v>92</v>
      </c>
      <c r="B93" s="5">
        <f>0</f>
        <v>0</v>
      </c>
      <c r="C93" s="4"/>
      <c r="D93" s="5">
        <f t="shared" si="4"/>
        <v>0</v>
      </c>
      <c r="E93" s="6" t="str">
        <f t="shared" si="5"/>
        <v/>
      </c>
    </row>
    <row r="94" spans="1:5" x14ac:dyDescent="0.25">
      <c r="A94" s="3" t="s">
        <v>93</v>
      </c>
      <c r="B94" s="7">
        <f>((B91)+(B92))+(B93)</f>
        <v>1000</v>
      </c>
      <c r="C94" s="7">
        <f>((C91)+(C92))+(C93)</f>
        <v>1000</v>
      </c>
      <c r="D94" s="7">
        <f t="shared" si="4"/>
        <v>0</v>
      </c>
      <c r="E94" s="8">
        <f t="shared" si="5"/>
        <v>1</v>
      </c>
    </row>
    <row r="95" spans="1:5" x14ac:dyDescent="0.25">
      <c r="A95" s="3" t="s">
        <v>94</v>
      </c>
      <c r="B95" s="4"/>
      <c r="C95" s="4"/>
      <c r="D95" s="5">
        <f t="shared" si="4"/>
        <v>0</v>
      </c>
      <c r="E95" s="6" t="str">
        <f t="shared" si="5"/>
        <v/>
      </c>
    </row>
    <row r="96" spans="1:5" x14ac:dyDescent="0.25">
      <c r="A96" s="3" t="s">
        <v>95</v>
      </c>
      <c r="B96" s="4"/>
      <c r="C96" s="4"/>
      <c r="D96" s="5">
        <f t="shared" ref="D96:D127" si="6">(B96)-(C96)</f>
        <v>0</v>
      </c>
      <c r="E96" s="6" t="str">
        <f t="shared" ref="E96:E110" si="7">IF(C96=0,"",(B96)/(C96))</f>
        <v/>
      </c>
    </row>
    <row r="97" spans="1:5" x14ac:dyDescent="0.25">
      <c r="A97" s="3" t="s">
        <v>96</v>
      </c>
      <c r="B97" s="4"/>
      <c r="C97" s="4"/>
      <c r="D97" s="5">
        <f t="shared" si="6"/>
        <v>0</v>
      </c>
      <c r="E97" s="6" t="str">
        <f t="shared" si="7"/>
        <v/>
      </c>
    </row>
    <row r="98" spans="1:5" x14ac:dyDescent="0.25">
      <c r="A98" s="3" t="s">
        <v>97</v>
      </c>
      <c r="B98" s="5">
        <f>0</f>
        <v>0</v>
      </c>
      <c r="C98" s="4"/>
      <c r="D98" s="5">
        <f t="shared" si="6"/>
        <v>0</v>
      </c>
      <c r="E98" s="6" t="str">
        <f t="shared" si="7"/>
        <v/>
      </c>
    </row>
    <row r="99" spans="1:5" x14ac:dyDescent="0.25">
      <c r="A99" s="3" t="s">
        <v>98</v>
      </c>
      <c r="B99" s="7">
        <f>(B97)+(B98)</f>
        <v>0</v>
      </c>
      <c r="C99" s="7">
        <f>(C97)+(C98)</f>
        <v>0</v>
      </c>
      <c r="D99" s="7">
        <f t="shared" si="6"/>
        <v>0</v>
      </c>
      <c r="E99" s="8" t="str">
        <f t="shared" si="7"/>
        <v/>
      </c>
    </row>
    <row r="100" spans="1:5" x14ac:dyDescent="0.25">
      <c r="A100" s="3" t="s">
        <v>99</v>
      </c>
      <c r="B100" s="7">
        <f>(B96)+(B99)</f>
        <v>0</v>
      </c>
      <c r="C100" s="7">
        <f>(C96)+(C99)</f>
        <v>0</v>
      </c>
      <c r="D100" s="7">
        <f t="shared" si="6"/>
        <v>0</v>
      </c>
      <c r="E100" s="8" t="str">
        <f t="shared" si="7"/>
        <v/>
      </c>
    </row>
    <row r="101" spans="1:5" x14ac:dyDescent="0.25">
      <c r="A101" s="3" t="s">
        <v>100</v>
      </c>
      <c r="B101" s="7">
        <f>(B95)+(B100)</f>
        <v>0</v>
      </c>
      <c r="C101" s="7">
        <f>(C95)+(C100)</f>
        <v>0</v>
      </c>
      <c r="D101" s="7">
        <f t="shared" si="6"/>
        <v>0</v>
      </c>
      <c r="E101" s="8" t="str">
        <f t="shared" si="7"/>
        <v/>
      </c>
    </row>
    <row r="102" spans="1:5" x14ac:dyDescent="0.25">
      <c r="A102" s="3" t="s">
        <v>101</v>
      </c>
      <c r="B102" s="4"/>
      <c r="C102" s="5">
        <f>250</f>
        <v>250</v>
      </c>
      <c r="D102" s="5">
        <f t="shared" si="6"/>
        <v>-250</v>
      </c>
      <c r="E102" s="6">
        <f t="shared" si="7"/>
        <v>0</v>
      </c>
    </row>
    <row r="103" spans="1:5" x14ac:dyDescent="0.25">
      <c r="A103" s="3" t="s">
        <v>102</v>
      </c>
      <c r="B103" s="4"/>
      <c r="C103" s="4"/>
      <c r="D103" s="5">
        <f t="shared" si="6"/>
        <v>0</v>
      </c>
      <c r="E103" s="6" t="str">
        <f t="shared" si="7"/>
        <v/>
      </c>
    </row>
    <row r="104" spans="1:5" x14ac:dyDescent="0.25">
      <c r="A104" s="3" t="s">
        <v>103</v>
      </c>
      <c r="B104" s="4"/>
      <c r="C104" s="5">
        <f>260</f>
        <v>260</v>
      </c>
      <c r="D104" s="5">
        <f t="shared" si="6"/>
        <v>-260</v>
      </c>
      <c r="E104" s="6">
        <f t="shared" si="7"/>
        <v>0</v>
      </c>
    </row>
    <row r="105" spans="1:5" x14ac:dyDescent="0.25">
      <c r="A105" s="3" t="s">
        <v>104</v>
      </c>
      <c r="B105" s="5">
        <f>16414.37</f>
        <v>16414.37</v>
      </c>
      <c r="C105" s="5">
        <f>51820</f>
        <v>51820</v>
      </c>
      <c r="D105" s="5">
        <f t="shared" si="6"/>
        <v>-35405.630000000005</v>
      </c>
      <c r="E105" s="6">
        <f t="shared" si="7"/>
        <v>0.31675742956387493</v>
      </c>
    </row>
    <row r="106" spans="1:5" x14ac:dyDescent="0.25">
      <c r="A106" s="3" t="s">
        <v>105</v>
      </c>
      <c r="B106" s="7">
        <f>((B103)+(B104))+(B105)</f>
        <v>16414.37</v>
      </c>
      <c r="C106" s="7">
        <f>((C103)+(C104))+(C105)</f>
        <v>52080</v>
      </c>
      <c r="D106" s="7">
        <f t="shared" si="6"/>
        <v>-35665.630000000005</v>
      </c>
      <c r="E106" s="8">
        <f t="shared" si="7"/>
        <v>0.31517607526881719</v>
      </c>
    </row>
    <row r="107" spans="1:5" x14ac:dyDescent="0.25">
      <c r="A107" s="3" t="s">
        <v>106</v>
      </c>
      <c r="B107" s="4"/>
      <c r="C107" s="5">
        <f>2500</f>
        <v>2500</v>
      </c>
      <c r="D107" s="5">
        <f t="shared" si="6"/>
        <v>-2500</v>
      </c>
      <c r="E107" s="6">
        <f t="shared" si="7"/>
        <v>0</v>
      </c>
    </row>
    <row r="108" spans="1:5" x14ac:dyDescent="0.25">
      <c r="A108" s="3" t="s">
        <v>107</v>
      </c>
      <c r="B108" s="7">
        <f>(((((((((((B47)+(B50))+(B55))+(B60))+(B73))+(B83))+(B90))+(B94))+(B101))+(B102))+(B106))+(B107)</f>
        <v>472199.3</v>
      </c>
      <c r="C108" s="7">
        <f>(((((((((((C47)+(C50))+(C55))+(C60))+(C73))+(C83))+(C90))+(C94))+(C101))+(C102))+(C106))+(C107)</f>
        <v>604071</v>
      </c>
      <c r="D108" s="7">
        <f t="shared" si="6"/>
        <v>-131871.70000000001</v>
      </c>
      <c r="E108" s="8">
        <f t="shared" si="7"/>
        <v>0.78169503253756589</v>
      </c>
    </row>
    <row r="109" spans="1:5" x14ac:dyDescent="0.25">
      <c r="A109" s="3" t="s">
        <v>108</v>
      </c>
      <c r="B109" s="7">
        <f>(B30)-(B108)</f>
        <v>34326.560000000056</v>
      </c>
      <c r="C109" s="7">
        <f>(C30)-(C108)</f>
        <v>69921</v>
      </c>
      <c r="D109" s="7">
        <f t="shared" si="6"/>
        <v>-35594.439999999944</v>
      </c>
      <c r="E109" s="8">
        <f t="shared" si="7"/>
        <v>0.4909334820726256</v>
      </c>
    </row>
    <row r="110" spans="1:5" x14ac:dyDescent="0.25">
      <c r="A110" s="3" t="s">
        <v>109</v>
      </c>
      <c r="B110" s="7">
        <f>(B109)+(0)</f>
        <v>34326.560000000056</v>
      </c>
      <c r="C110" s="7">
        <f>(C109)+(0)</f>
        <v>69921</v>
      </c>
      <c r="D110" s="7">
        <f t="shared" si="6"/>
        <v>-35594.439999999944</v>
      </c>
      <c r="E110" s="8">
        <f t="shared" si="7"/>
        <v>0.4909334820726256</v>
      </c>
    </row>
    <row r="111" spans="1:5" x14ac:dyDescent="0.25">
      <c r="A111" s="3"/>
      <c r="B111" s="4"/>
      <c r="C111" s="4"/>
      <c r="D111" s="4"/>
      <c r="E111" s="4"/>
    </row>
    <row r="114" spans="1:5" x14ac:dyDescent="0.25">
      <c r="A114" s="18" t="s">
        <v>112</v>
      </c>
      <c r="B114" s="19"/>
      <c r="C114" s="19"/>
      <c r="D114" s="19"/>
      <c r="E114" s="19"/>
    </row>
  </sheetData>
  <mergeCells count="5">
    <mergeCell ref="B5:E5"/>
    <mergeCell ref="A114:E114"/>
    <mergeCell ref="A1:E1"/>
    <mergeCell ref="A2:E2"/>
    <mergeCell ref="A3:E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D04E-DD82-4626-985C-F8B99C418A2F}">
  <dimension ref="A1:C58"/>
  <sheetViews>
    <sheetView workbookViewId="0">
      <selection activeCell="F12" sqref="F12"/>
    </sheetView>
  </sheetViews>
  <sheetFormatPr defaultRowHeight="15" x14ac:dyDescent="0.25"/>
  <cols>
    <col min="1" max="1" width="40.42578125" customWidth="1"/>
    <col min="2" max="3" width="24.85546875" customWidth="1"/>
  </cols>
  <sheetData>
    <row r="1" spans="1:3" ht="18" x14ac:dyDescent="0.25">
      <c r="A1" s="23" t="s">
        <v>110</v>
      </c>
      <c r="B1" s="19"/>
      <c r="C1" s="19"/>
    </row>
    <row r="2" spans="1:3" ht="18" x14ac:dyDescent="0.25">
      <c r="A2" s="23" t="s">
        <v>119</v>
      </c>
      <c r="B2" s="19"/>
      <c r="C2" s="19"/>
    </row>
    <row r="3" spans="1:3" x14ac:dyDescent="0.25">
      <c r="A3" s="24" t="s">
        <v>118</v>
      </c>
      <c r="B3" s="19"/>
      <c r="C3" s="19"/>
    </row>
    <row r="5" spans="1:3" x14ac:dyDescent="0.25">
      <c r="A5" s="1"/>
      <c r="B5" s="15" t="s">
        <v>0</v>
      </c>
      <c r="C5" s="15" t="s">
        <v>1</v>
      </c>
    </row>
    <row r="6" spans="1:3" x14ac:dyDescent="0.25">
      <c r="A6" s="12" t="s">
        <v>6</v>
      </c>
      <c r="B6" s="11"/>
      <c r="C6" s="11"/>
    </row>
    <row r="7" spans="1:3" x14ac:dyDescent="0.25">
      <c r="A7" s="12" t="s">
        <v>7</v>
      </c>
      <c r="B7" s="11"/>
      <c r="C7" s="14">
        <f t="shared" ref="C7:C17" si="0">B7</f>
        <v>0</v>
      </c>
    </row>
    <row r="8" spans="1:3" x14ac:dyDescent="0.25">
      <c r="A8" s="12" t="s">
        <v>9</v>
      </c>
      <c r="B8" s="14">
        <f>1625</f>
        <v>1625</v>
      </c>
      <c r="C8" s="14">
        <f t="shared" si="0"/>
        <v>1625</v>
      </c>
    </row>
    <row r="9" spans="1:3" x14ac:dyDescent="0.25">
      <c r="A9" s="12" t="s">
        <v>14</v>
      </c>
      <c r="B9" s="13">
        <f>(B7)+(B8)</f>
        <v>1625</v>
      </c>
      <c r="C9" s="13">
        <f t="shared" si="0"/>
        <v>1625</v>
      </c>
    </row>
    <row r="10" spans="1:3" x14ac:dyDescent="0.25">
      <c r="A10" s="12" t="s">
        <v>18</v>
      </c>
      <c r="B10" s="11"/>
      <c r="C10" s="14">
        <f t="shared" si="0"/>
        <v>0</v>
      </c>
    </row>
    <row r="11" spans="1:3" x14ac:dyDescent="0.25">
      <c r="A11" s="12" t="s">
        <v>19</v>
      </c>
      <c r="B11" s="14">
        <f>200</f>
        <v>200</v>
      </c>
      <c r="C11" s="14">
        <f t="shared" si="0"/>
        <v>200</v>
      </c>
    </row>
    <row r="12" spans="1:3" x14ac:dyDescent="0.25">
      <c r="A12" s="12" t="s">
        <v>21</v>
      </c>
      <c r="B12" s="13">
        <f>(B10)+(B11)</f>
        <v>200</v>
      </c>
      <c r="C12" s="13">
        <f t="shared" si="0"/>
        <v>200</v>
      </c>
    </row>
    <row r="13" spans="1:3" x14ac:dyDescent="0.25">
      <c r="A13" s="12" t="s">
        <v>22</v>
      </c>
      <c r="B13" s="11"/>
      <c r="C13" s="14">
        <f t="shared" si="0"/>
        <v>0</v>
      </c>
    </row>
    <row r="14" spans="1:3" x14ac:dyDescent="0.25">
      <c r="A14" s="12" t="s">
        <v>24</v>
      </c>
      <c r="B14" s="14">
        <f>4205</f>
        <v>4205</v>
      </c>
      <c r="C14" s="14">
        <f t="shared" si="0"/>
        <v>4205</v>
      </c>
    </row>
    <row r="15" spans="1:3" x14ac:dyDescent="0.25">
      <c r="A15" s="12" t="s">
        <v>25</v>
      </c>
      <c r="B15" s="13">
        <f>(B13)+(B14)</f>
        <v>4205</v>
      </c>
      <c r="C15" s="13">
        <f t="shared" si="0"/>
        <v>4205</v>
      </c>
    </row>
    <row r="16" spans="1:3" x14ac:dyDescent="0.25">
      <c r="A16" s="12" t="s">
        <v>28</v>
      </c>
      <c r="B16" s="13">
        <f>((B9)+(B12))+(B15)</f>
        <v>6030</v>
      </c>
      <c r="C16" s="13">
        <f t="shared" si="0"/>
        <v>6030</v>
      </c>
    </row>
    <row r="17" spans="1:3" x14ac:dyDescent="0.25">
      <c r="A17" s="12" t="s">
        <v>29</v>
      </c>
      <c r="B17" s="13">
        <f>(B16)-(0)</f>
        <v>6030</v>
      </c>
      <c r="C17" s="13">
        <f t="shared" si="0"/>
        <v>6030</v>
      </c>
    </row>
    <row r="18" spans="1:3" x14ac:dyDescent="0.25">
      <c r="A18" s="12" t="s">
        <v>30</v>
      </c>
      <c r="B18" s="11"/>
      <c r="C18" s="11"/>
    </row>
    <row r="19" spans="1:3" x14ac:dyDescent="0.25">
      <c r="A19" s="12" t="s">
        <v>31</v>
      </c>
      <c r="B19" s="11"/>
      <c r="C19" s="14">
        <f t="shared" ref="C19:C54" si="1">B19</f>
        <v>0</v>
      </c>
    </row>
    <row r="20" spans="1:3" x14ac:dyDescent="0.25">
      <c r="A20" s="12" t="s">
        <v>32</v>
      </c>
      <c r="B20" s="14">
        <f>5500</f>
        <v>5500</v>
      </c>
      <c r="C20" s="14">
        <f t="shared" si="1"/>
        <v>5500</v>
      </c>
    </row>
    <row r="21" spans="1:3" x14ac:dyDescent="0.25">
      <c r="A21" s="12" t="s">
        <v>37</v>
      </c>
      <c r="B21" s="14">
        <f>100</f>
        <v>100</v>
      </c>
      <c r="C21" s="14">
        <f t="shared" si="1"/>
        <v>100</v>
      </c>
    </row>
    <row r="22" spans="1:3" x14ac:dyDescent="0.25">
      <c r="A22" s="12" t="s">
        <v>38</v>
      </c>
      <c r="B22" s="14">
        <f>67.65</f>
        <v>67.650000000000006</v>
      </c>
      <c r="C22" s="14">
        <f t="shared" si="1"/>
        <v>67.650000000000006</v>
      </c>
    </row>
    <row r="23" spans="1:3" x14ac:dyDescent="0.25">
      <c r="A23" s="12" t="s">
        <v>41</v>
      </c>
      <c r="B23" s="14">
        <f>175</f>
        <v>175</v>
      </c>
      <c r="C23" s="14">
        <f t="shared" si="1"/>
        <v>175</v>
      </c>
    </row>
    <row r="24" spans="1:3" x14ac:dyDescent="0.25">
      <c r="A24" s="12" t="s">
        <v>42</v>
      </c>
      <c r="B24" s="14">
        <f>480.93</f>
        <v>480.93</v>
      </c>
      <c r="C24" s="14">
        <f t="shared" si="1"/>
        <v>480.93</v>
      </c>
    </row>
    <row r="25" spans="1:3" x14ac:dyDescent="0.25">
      <c r="A25" s="12" t="s">
        <v>43</v>
      </c>
      <c r="B25" s="14">
        <f>2250</f>
        <v>2250</v>
      </c>
      <c r="C25" s="14">
        <f t="shared" si="1"/>
        <v>2250</v>
      </c>
    </row>
    <row r="26" spans="1:3" x14ac:dyDescent="0.25">
      <c r="A26" s="12" t="s">
        <v>44</v>
      </c>
      <c r="B26" s="14">
        <f>3041.66</f>
        <v>3041.66</v>
      </c>
      <c r="C26" s="14">
        <f t="shared" si="1"/>
        <v>3041.66</v>
      </c>
    </row>
    <row r="27" spans="1:3" x14ac:dyDescent="0.25">
      <c r="A27" s="12" t="s">
        <v>45</v>
      </c>
      <c r="B27" s="14">
        <f>3</f>
        <v>3</v>
      </c>
      <c r="C27" s="14">
        <f t="shared" si="1"/>
        <v>3</v>
      </c>
    </row>
    <row r="28" spans="1:3" x14ac:dyDescent="0.25">
      <c r="A28" s="12" t="s">
        <v>46</v>
      </c>
      <c r="B28" s="13">
        <f>((((((((B19)+(B20))+(B21))+(B22))+(B23))+(B24))+(B25))+(B26))+(B27)</f>
        <v>11618.24</v>
      </c>
      <c r="C28" s="13">
        <f t="shared" si="1"/>
        <v>11618.24</v>
      </c>
    </row>
    <row r="29" spans="1:3" x14ac:dyDescent="0.25">
      <c r="A29" s="12" t="s">
        <v>50</v>
      </c>
      <c r="B29" s="11"/>
      <c r="C29" s="14">
        <f t="shared" si="1"/>
        <v>0</v>
      </c>
    </row>
    <row r="30" spans="1:3" x14ac:dyDescent="0.25">
      <c r="A30" s="12" t="s">
        <v>51</v>
      </c>
      <c r="B30" s="14">
        <f>8000</f>
        <v>8000</v>
      </c>
      <c r="C30" s="14">
        <f t="shared" si="1"/>
        <v>8000</v>
      </c>
    </row>
    <row r="31" spans="1:3" x14ac:dyDescent="0.25">
      <c r="A31" s="12" t="s">
        <v>52</v>
      </c>
      <c r="B31" s="14">
        <f>201.38</f>
        <v>201.38</v>
      </c>
      <c r="C31" s="14">
        <f t="shared" si="1"/>
        <v>201.38</v>
      </c>
    </row>
    <row r="32" spans="1:3" x14ac:dyDescent="0.25">
      <c r="A32" s="12" t="s">
        <v>54</v>
      </c>
      <c r="B32" s="13">
        <f>((B29)+(B30))+(B31)</f>
        <v>8201.3799999999992</v>
      </c>
      <c r="C32" s="13">
        <f t="shared" si="1"/>
        <v>8201.3799999999992</v>
      </c>
    </row>
    <row r="33" spans="1:3" x14ac:dyDescent="0.25">
      <c r="A33" s="12" t="s">
        <v>55</v>
      </c>
      <c r="B33" s="11"/>
      <c r="C33" s="14">
        <f t="shared" si="1"/>
        <v>0</v>
      </c>
    </row>
    <row r="34" spans="1:3" x14ac:dyDescent="0.25">
      <c r="A34" s="12" t="s">
        <v>57</v>
      </c>
      <c r="B34" s="14">
        <f>83.33</f>
        <v>83.33</v>
      </c>
      <c r="C34" s="14">
        <f t="shared" si="1"/>
        <v>83.33</v>
      </c>
    </row>
    <row r="35" spans="1:3" x14ac:dyDescent="0.25">
      <c r="A35" s="12" t="s">
        <v>59</v>
      </c>
      <c r="B35" s="13">
        <f>(B33)+(B34)</f>
        <v>83.33</v>
      </c>
      <c r="C35" s="13">
        <f t="shared" si="1"/>
        <v>83.33</v>
      </c>
    </row>
    <row r="36" spans="1:3" x14ac:dyDescent="0.25">
      <c r="A36" s="12" t="s">
        <v>60</v>
      </c>
      <c r="B36" s="11"/>
      <c r="C36" s="14">
        <f t="shared" si="1"/>
        <v>0</v>
      </c>
    </row>
    <row r="37" spans="1:3" x14ac:dyDescent="0.25">
      <c r="A37" s="12" t="s">
        <v>62</v>
      </c>
      <c r="B37" s="14">
        <f>833.32</f>
        <v>833.32</v>
      </c>
      <c r="C37" s="14">
        <f t="shared" si="1"/>
        <v>833.32</v>
      </c>
    </row>
    <row r="38" spans="1:3" x14ac:dyDescent="0.25">
      <c r="A38" s="12" t="s">
        <v>63</v>
      </c>
      <c r="B38" s="14">
        <f>416.67</f>
        <v>416.67</v>
      </c>
      <c r="C38" s="14">
        <f t="shared" si="1"/>
        <v>416.67</v>
      </c>
    </row>
    <row r="39" spans="1:3" x14ac:dyDescent="0.25">
      <c r="A39" s="12" t="s">
        <v>64</v>
      </c>
      <c r="B39" s="14">
        <f>2558.33</f>
        <v>2558.33</v>
      </c>
      <c r="C39" s="14">
        <f t="shared" si="1"/>
        <v>2558.33</v>
      </c>
    </row>
    <row r="40" spans="1:3" x14ac:dyDescent="0.25">
      <c r="A40" s="12" t="s">
        <v>65</v>
      </c>
      <c r="B40" s="14">
        <f>630</f>
        <v>630</v>
      </c>
      <c r="C40" s="14">
        <f t="shared" si="1"/>
        <v>630</v>
      </c>
    </row>
    <row r="41" spans="1:3" x14ac:dyDescent="0.25">
      <c r="A41" s="12" t="s">
        <v>66</v>
      </c>
      <c r="B41" s="14">
        <f>416.66</f>
        <v>416.66</v>
      </c>
      <c r="C41" s="14">
        <f t="shared" si="1"/>
        <v>416.66</v>
      </c>
    </row>
    <row r="42" spans="1:3" x14ac:dyDescent="0.25">
      <c r="A42" s="12" t="s">
        <v>67</v>
      </c>
      <c r="B42" s="14">
        <f>416.66</f>
        <v>416.66</v>
      </c>
      <c r="C42" s="14">
        <f t="shared" si="1"/>
        <v>416.66</v>
      </c>
    </row>
    <row r="43" spans="1:3" x14ac:dyDescent="0.25">
      <c r="A43" s="12" t="s">
        <v>68</v>
      </c>
      <c r="B43" s="14">
        <f>583.34</f>
        <v>583.34</v>
      </c>
      <c r="C43" s="14">
        <f t="shared" si="1"/>
        <v>583.34</v>
      </c>
    </row>
    <row r="44" spans="1:3" x14ac:dyDescent="0.25">
      <c r="A44" s="12" t="s">
        <v>69</v>
      </c>
      <c r="B44" s="14">
        <f>6858.7</f>
        <v>6858.7</v>
      </c>
      <c r="C44" s="14">
        <f t="shared" si="1"/>
        <v>6858.7</v>
      </c>
    </row>
    <row r="45" spans="1:3" x14ac:dyDescent="0.25">
      <c r="A45" s="12" t="s">
        <v>72</v>
      </c>
      <c r="B45" s="13">
        <f>((((((((B36)+(B37))+(B38))+(B39))+(B40))+(B41))+(B42))+(B43))+(B44)</f>
        <v>12713.68</v>
      </c>
      <c r="C45" s="13">
        <f t="shared" si="1"/>
        <v>12713.68</v>
      </c>
    </row>
    <row r="46" spans="1:3" x14ac:dyDescent="0.25">
      <c r="A46" s="12" t="s">
        <v>73</v>
      </c>
      <c r="B46" s="11"/>
      <c r="C46" s="14">
        <f t="shared" si="1"/>
        <v>0</v>
      </c>
    </row>
    <row r="47" spans="1:3" x14ac:dyDescent="0.25">
      <c r="A47" s="12" t="s">
        <v>76</v>
      </c>
      <c r="B47" s="14">
        <f>1399</f>
        <v>1399</v>
      </c>
      <c r="C47" s="14">
        <f t="shared" si="1"/>
        <v>1399</v>
      </c>
    </row>
    <row r="48" spans="1:3" x14ac:dyDescent="0.25">
      <c r="A48" s="12" t="s">
        <v>82</v>
      </c>
      <c r="B48" s="13">
        <f>(B46)+(B47)</f>
        <v>1399</v>
      </c>
      <c r="C48" s="13">
        <f t="shared" si="1"/>
        <v>1399</v>
      </c>
    </row>
    <row r="49" spans="1:3" x14ac:dyDescent="0.25">
      <c r="A49" s="12" t="s">
        <v>102</v>
      </c>
      <c r="B49" s="11"/>
      <c r="C49" s="14">
        <f t="shared" si="1"/>
        <v>0</v>
      </c>
    </row>
    <row r="50" spans="1:3" x14ac:dyDescent="0.25">
      <c r="A50" s="12" t="s">
        <v>104</v>
      </c>
      <c r="B50" s="14">
        <f>1040.4</f>
        <v>1040.4000000000001</v>
      </c>
      <c r="C50" s="14">
        <f t="shared" si="1"/>
        <v>1040.4000000000001</v>
      </c>
    </row>
    <row r="51" spans="1:3" x14ac:dyDescent="0.25">
      <c r="A51" s="12" t="s">
        <v>105</v>
      </c>
      <c r="B51" s="13">
        <f>(B49)+(B50)</f>
        <v>1040.4000000000001</v>
      </c>
      <c r="C51" s="13">
        <f t="shared" si="1"/>
        <v>1040.4000000000001</v>
      </c>
    </row>
    <row r="52" spans="1:3" x14ac:dyDescent="0.25">
      <c r="A52" s="12" t="s">
        <v>107</v>
      </c>
      <c r="B52" s="13">
        <f>(((((B28)+(B32))+(B35))+(B45))+(B48))+(B51)</f>
        <v>35056.030000000006</v>
      </c>
      <c r="C52" s="13">
        <f t="shared" si="1"/>
        <v>35056.030000000006</v>
      </c>
    </row>
    <row r="53" spans="1:3" x14ac:dyDescent="0.25">
      <c r="A53" s="12" t="s">
        <v>108</v>
      </c>
      <c r="B53" s="13">
        <f>(B17)-(B52)</f>
        <v>-29026.030000000006</v>
      </c>
      <c r="C53" s="13">
        <f t="shared" si="1"/>
        <v>-29026.030000000006</v>
      </c>
    </row>
    <row r="54" spans="1:3" x14ac:dyDescent="0.25">
      <c r="A54" s="12" t="s">
        <v>109</v>
      </c>
      <c r="B54" s="13">
        <f>(B53)+(0)</f>
        <v>-29026.030000000006</v>
      </c>
      <c r="C54" s="13">
        <f t="shared" si="1"/>
        <v>-29026.030000000006</v>
      </c>
    </row>
    <row r="55" spans="1:3" x14ac:dyDescent="0.25">
      <c r="A55" s="12"/>
      <c r="B55" s="11"/>
      <c r="C55" s="11"/>
    </row>
    <row r="58" spans="1:3" x14ac:dyDescent="0.25">
      <c r="A58" s="22" t="s">
        <v>117</v>
      </c>
      <c r="B58" s="19"/>
      <c r="C58" s="19"/>
    </row>
  </sheetData>
  <mergeCells count="4">
    <mergeCell ref="A58:C58"/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A555-DDD9-4F19-AFC7-5CB29F9B0D2C}">
  <dimension ref="A1:B77"/>
  <sheetViews>
    <sheetView workbookViewId="0">
      <selection sqref="A1:B1"/>
    </sheetView>
  </sheetViews>
  <sheetFormatPr defaultRowHeight="15" x14ac:dyDescent="0.25"/>
  <cols>
    <col min="1" max="1" width="45.5703125" customWidth="1"/>
    <col min="2" max="2" width="37.85546875" customWidth="1"/>
  </cols>
  <sheetData>
    <row r="1" spans="1:2" ht="18" x14ac:dyDescent="0.25">
      <c r="A1" s="23" t="s">
        <v>110</v>
      </c>
      <c r="B1" s="19"/>
    </row>
    <row r="2" spans="1:2" ht="18" x14ac:dyDescent="0.25">
      <c r="A2" s="23" t="s">
        <v>191</v>
      </c>
      <c r="B2" s="19"/>
    </row>
    <row r="3" spans="1:2" x14ac:dyDescent="0.25">
      <c r="A3" s="24" t="s">
        <v>190</v>
      </c>
      <c r="B3" s="19"/>
    </row>
    <row r="5" spans="1:2" x14ac:dyDescent="0.25">
      <c r="A5" s="1"/>
      <c r="B5" s="15" t="s">
        <v>189</v>
      </c>
    </row>
    <row r="6" spans="1:2" x14ac:dyDescent="0.25">
      <c r="A6" s="12" t="s">
        <v>188</v>
      </c>
      <c r="B6" s="11"/>
    </row>
    <row r="7" spans="1:2" x14ac:dyDescent="0.25">
      <c r="A7" s="12" t="s">
        <v>187</v>
      </c>
      <c r="B7" s="11"/>
    </row>
    <row r="8" spans="1:2" x14ac:dyDescent="0.25">
      <c r="A8" s="12" t="s">
        <v>186</v>
      </c>
      <c r="B8" s="11"/>
    </row>
    <row r="9" spans="1:2" x14ac:dyDescent="0.25">
      <c r="A9" s="12" t="s">
        <v>185</v>
      </c>
      <c r="B9" s="14">
        <f>374943.51</f>
        <v>374943.51</v>
      </c>
    </row>
    <row r="10" spans="1:2" x14ac:dyDescent="0.25">
      <c r="A10" s="12" t="s">
        <v>184</v>
      </c>
      <c r="B10" s="14">
        <f>42949.04</f>
        <v>42949.04</v>
      </c>
    </row>
    <row r="11" spans="1:2" x14ac:dyDescent="0.25">
      <c r="A11" s="12" t="s">
        <v>183</v>
      </c>
      <c r="B11" s="14">
        <f>86452.63</f>
        <v>86452.63</v>
      </c>
    </row>
    <row r="12" spans="1:2" x14ac:dyDescent="0.25">
      <c r="A12" s="12" t="s">
        <v>182</v>
      </c>
      <c r="B12" s="14">
        <f>255455.8</f>
        <v>255455.8</v>
      </c>
    </row>
    <row r="13" spans="1:2" x14ac:dyDescent="0.25">
      <c r="A13" s="12" t="s">
        <v>181</v>
      </c>
      <c r="B13" s="14">
        <f>138841.79</f>
        <v>138841.79</v>
      </c>
    </row>
    <row r="14" spans="1:2" x14ac:dyDescent="0.25">
      <c r="A14" s="12" t="s">
        <v>180</v>
      </c>
      <c r="B14" s="14">
        <f>21392.92</f>
        <v>21392.92</v>
      </c>
    </row>
    <row r="15" spans="1:2" x14ac:dyDescent="0.25">
      <c r="A15" s="12" t="s">
        <v>179</v>
      </c>
      <c r="B15" s="14">
        <f>336.78</f>
        <v>336.78</v>
      </c>
    </row>
    <row r="16" spans="1:2" x14ac:dyDescent="0.25">
      <c r="A16" s="12" t="s">
        <v>178</v>
      </c>
      <c r="B16" s="14">
        <f>290.27</f>
        <v>290.27</v>
      </c>
    </row>
    <row r="17" spans="1:2" x14ac:dyDescent="0.25">
      <c r="A17" s="12" t="s">
        <v>177</v>
      </c>
      <c r="B17" s="14">
        <f>124411.81</f>
        <v>124411.81</v>
      </c>
    </row>
    <row r="18" spans="1:2" x14ac:dyDescent="0.25">
      <c r="A18" s="12" t="s">
        <v>176</v>
      </c>
      <c r="B18" s="14">
        <f>50</f>
        <v>50</v>
      </c>
    </row>
    <row r="19" spans="1:2" x14ac:dyDescent="0.25">
      <c r="A19" s="12" t="s">
        <v>175</v>
      </c>
      <c r="B19" s="14">
        <f>8923.37</f>
        <v>8923.3700000000008</v>
      </c>
    </row>
    <row r="20" spans="1:2" x14ac:dyDescent="0.25">
      <c r="A20" s="12" t="s">
        <v>174</v>
      </c>
      <c r="B20" s="14">
        <f>23797.29</f>
        <v>23797.29</v>
      </c>
    </row>
    <row r="21" spans="1:2" x14ac:dyDescent="0.25">
      <c r="A21" s="12" t="s">
        <v>173</v>
      </c>
      <c r="B21" s="14">
        <f>23925.75</f>
        <v>23925.75</v>
      </c>
    </row>
    <row r="22" spans="1:2" x14ac:dyDescent="0.25">
      <c r="A22" s="12" t="s">
        <v>172</v>
      </c>
      <c r="B22" s="14">
        <f>16796.79</f>
        <v>16796.79</v>
      </c>
    </row>
    <row r="23" spans="1:2" x14ac:dyDescent="0.25">
      <c r="A23" s="12" t="s">
        <v>171</v>
      </c>
      <c r="B23" s="14">
        <f>38689.94</f>
        <v>38689.94</v>
      </c>
    </row>
    <row r="24" spans="1:2" x14ac:dyDescent="0.25">
      <c r="A24" s="12" t="s">
        <v>170</v>
      </c>
      <c r="B24" s="14">
        <f>103523.7</f>
        <v>103523.7</v>
      </c>
    </row>
    <row r="25" spans="1:2" x14ac:dyDescent="0.25">
      <c r="A25" s="12" t="s">
        <v>169</v>
      </c>
      <c r="B25" s="14">
        <f>31621.25</f>
        <v>31621.25</v>
      </c>
    </row>
    <row r="26" spans="1:2" x14ac:dyDescent="0.25">
      <c r="A26" s="12" t="s">
        <v>168</v>
      </c>
      <c r="B26" s="14">
        <f>24146.64</f>
        <v>24146.639999999999</v>
      </c>
    </row>
    <row r="27" spans="1:2" x14ac:dyDescent="0.25">
      <c r="A27" s="12" t="s">
        <v>167</v>
      </c>
      <c r="B27" s="14">
        <f>85000</f>
        <v>85000</v>
      </c>
    </row>
    <row r="28" spans="1:2" x14ac:dyDescent="0.25">
      <c r="A28" s="12" t="s">
        <v>166</v>
      </c>
      <c r="B28" s="14">
        <f>48827.23</f>
        <v>48827.23</v>
      </c>
    </row>
    <row r="29" spans="1:2" x14ac:dyDescent="0.25">
      <c r="A29" s="12" t="s">
        <v>165</v>
      </c>
      <c r="B29" s="14">
        <f>0</f>
        <v>0</v>
      </c>
    </row>
    <row r="30" spans="1:2" x14ac:dyDescent="0.25">
      <c r="A30" s="12" t="s">
        <v>164</v>
      </c>
      <c r="B30" s="14">
        <f>139167.19</f>
        <v>139167.19</v>
      </c>
    </row>
    <row r="31" spans="1:2" x14ac:dyDescent="0.25">
      <c r="A31" s="12" t="s">
        <v>163</v>
      </c>
      <c r="B31" s="14">
        <f>14517.66</f>
        <v>14517.66</v>
      </c>
    </row>
    <row r="32" spans="1:2" x14ac:dyDescent="0.25">
      <c r="A32" s="12" t="s">
        <v>162</v>
      </c>
      <c r="B32" s="14">
        <f>68376.31</f>
        <v>68376.31</v>
      </c>
    </row>
    <row r="33" spans="1:2" x14ac:dyDescent="0.25">
      <c r="A33" s="12" t="s">
        <v>161</v>
      </c>
      <c r="B33" s="14">
        <f>23505.87</f>
        <v>23505.87</v>
      </c>
    </row>
    <row r="34" spans="1:2" x14ac:dyDescent="0.25">
      <c r="A34" s="12" t="s">
        <v>160</v>
      </c>
      <c r="B34" s="14">
        <f>6303.6</f>
        <v>6303.6</v>
      </c>
    </row>
    <row r="35" spans="1:2" x14ac:dyDescent="0.25">
      <c r="A35" s="12" t="s">
        <v>159</v>
      </c>
      <c r="B35" s="14">
        <f>5000</f>
        <v>5000</v>
      </c>
    </row>
    <row r="36" spans="1:2" x14ac:dyDescent="0.25">
      <c r="A36" s="12" t="s">
        <v>158</v>
      </c>
      <c r="B36" s="14">
        <f>15462.76</f>
        <v>15462.76</v>
      </c>
    </row>
    <row r="37" spans="1:2" x14ac:dyDescent="0.25">
      <c r="A37" s="12" t="s">
        <v>157</v>
      </c>
      <c r="B37" s="14">
        <f>24268.61</f>
        <v>24268.61</v>
      </c>
    </row>
    <row r="38" spans="1:2" x14ac:dyDescent="0.25">
      <c r="A38" s="12" t="s">
        <v>156</v>
      </c>
      <c r="B38" s="13">
        <f>((((((((((((((((((((((((((((B9)+(B10))+(B11))+(B12))+(B13))+(B14))+(B15))+(B16))+(B17))+(B18))+(B19))+(B20))+(B21))+(B22))+(B23))+(B24))+(B25))+(B26))+(B27))+(B28))+(B29))+(B30))+(B31))+(B32))+(B33))+(B34))+(B35))+(B36))+(B37)</f>
        <v>1746978.5100000002</v>
      </c>
    </row>
    <row r="39" spans="1:2" x14ac:dyDescent="0.25">
      <c r="A39" s="12" t="s">
        <v>155</v>
      </c>
      <c r="B39" s="11"/>
    </row>
    <row r="40" spans="1:2" x14ac:dyDescent="0.25">
      <c r="A40" s="12" t="s">
        <v>154</v>
      </c>
      <c r="B40" s="14">
        <f>0</f>
        <v>0</v>
      </c>
    </row>
    <row r="41" spans="1:2" x14ac:dyDescent="0.25">
      <c r="A41" s="12" t="s">
        <v>153</v>
      </c>
      <c r="B41" s="14">
        <f>0</f>
        <v>0</v>
      </c>
    </row>
    <row r="42" spans="1:2" x14ac:dyDescent="0.25">
      <c r="A42" s="12" t="s">
        <v>152</v>
      </c>
      <c r="B42" s="13">
        <f>(B40)+(B41)</f>
        <v>0</v>
      </c>
    </row>
    <row r="43" spans="1:2" x14ac:dyDescent="0.25">
      <c r="A43" s="12" t="s">
        <v>151</v>
      </c>
      <c r="B43" s="13">
        <f>(B38)+(B42)</f>
        <v>1746978.5100000002</v>
      </c>
    </row>
    <row r="44" spans="1:2" x14ac:dyDescent="0.25">
      <c r="A44" s="12" t="s">
        <v>150</v>
      </c>
      <c r="B44" s="13">
        <f>B43</f>
        <v>1746978.5100000002</v>
      </c>
    </row>
    <row r="45" spans="1:2" x14ac:dyDescent="0.25">
      <c r="A45" s="12" t="s">
        <v>149</v>
      </c>
      <c r="B45" s="11"/>
    </row>
    <row r="46" spans="1:2" x14ac:dyDescent="0.25">
      <c r="A46" s="12" t="s">
        <v>148</v>
      </c>
      <c r="B46" s="11"/>
    </row>
    <row r="47" spans="1:2" x14ac:dyDescent="0.25">
      <c r="A47" s="12" t="s">
        <v>147</v>
      </c>
      <c r="B47" s="11"/>
    </row>
    <row r="48" spans="1:2" x14ac:dyDescent="0.25">
      <c r="A48" s="12" t="s">
        <v>146</v>
      </c>
      <c r="B48" s="11"/>
    </row>
    <row r="49" spans="1:2" x14ac:dyDescent="0.25">
      <c r="A49" s="12" t="s">
        <v>145</v>
      </c>
      <c r="B49" s="14">
        <f>0</f>
        <v>0</v>
      </c>
    </row>
    <row r="50" spans="1:2" x14ac:dyDescent="0.25">
      <c r="A50" s="12" t="s">
        <v>144</v>
      </c>
      <c r="B50" s="13">
        <f>B49</f>
        <v>0</v>
      </c>
    </row>
    <row r="51" spans="1:2" x14ac:dyDescent="0.25">
      <c r="A51" s="12" t="s">
        <v>143</v>
      </c>
      <c r="B51" s="11"/>
    </row>
    <row r="52" spans="1:2" x14ac:dyDescent="0.25">
      <c r="A52" s="12" t="s">
        <v>142</v>
      </c>
      <c r="B52" s="14">
        <f>0</f>
        <v>0</v>
      </c>
    </row>
    <row r="53" spans="1:2" x14ac:dyDescent="0.25">
      <c r="A53" s="12" t="s">
        <v>141</v>
      </c>
      <c r="B53" s="13">
        <f>B52</f>
        <v>0</v>
      </c>
    </row>
    <row r="54" spans="1:2" x14ac:dyDescent="0.25">
      <c r="A54" s="12" t="s">
        <v>140</v>
      </c>
      <c r="B54" s="11"/>
    </row>
    <row r="55" spans="1:2" x14ac:dyDescent="0.25">
      <c r="A55" s="12" t="s">
        <v>139</v>
      </c>
      <c r="B55" s="14">
        <f>0</f>
        <v>0</v>
      </c>
    </row>
    <row r="56" spans="1:2" x14ac:dyDescent="0.25">
      <c r="A56" s="12" t="s">
        <v>138</v>
      </c>
      <c r="B56" s="14">
        <f>0</f>
        <v>0</v>
      </c>
    </row>
    <row r="57" spans="1:2" x14ac:dyDescent="0.25">
      <c r="A57" s="12" t="s">
        <v>137</v>
      </c>
      <c r="B57" s="14">
        <f>0</f>
        <v>0</v>
      </c>
    </row>
    <row r="58" spans="1:2" x14ac:dyDescent="0.25">
      <c r="A58" s="12" t="s">
        <v>136</v>
      </c>
      <c r="B58" s="14">
        <f>0</f>
        <v>0</v>
      </c>
    </row>
    <row r="59" spans="1:2" x14ac:dyDescent="0.25">
      <c r="A59" s="12" t="s">
        <v>135</v>
      </c>
      <c r="B59" s="14">
        <f>0</f>
        <v>0</v>
      </c>
    </row>
    <row r="60" spans="1:2" x14ac:dyDescent="0.25">
      <c r="A60" s="12" t="s">
        <v>134</v>
      </c>
      <c r="B60" s="14">
        <f>0</f>
        <v>0</v>
      </c>
    </row>
    <row r="61" spans="1:2" x14ac:dyDescent="0.25">
      <c r="A61" s="12" t="s">
        <v>133</v>
      </c>
      <c r="B61" s="14">
        <f>1333.33</f>
        <v>1333.33</v>
      </c>
    </row>
    <row r="62" spans="1:2" x14ac:dyDescent="0.25">
      <c r="A62" s="12" t="s">
        <v>132</v>
      </c>
      <c r="B62" s="14">
        <f>0</f>
        <v>0</v>
      </c>
    </row>
    <row r="63" spans="1:2" x14ac:dyDescent="0.25">
      <c r="A63" s="12" t="s">
        <v>131</v>
      </c>
      <c r="B63" s="13">
        <f>(((((((B55)+(B56))+(B57))+(B58))+(B59))+(B60))+(B61))+(B62)</f>
        <v>1333.33</v>
      </c>
    </row>
    <row r="64" spans="1:2" x14ac:dyDescent="0.25">
      <c r="A64" s="12" t="s">
        <v>130</v>
      </c>
      <c r="B64" s="13">
        <f>((B50)+(B53))+(B63)</f>
        <v>1333.33</v>
      </c>
    </row>
    <row r="65" spans="1:2" x14ac:dyDescent="0.25">
      <c r="A65" s="12" t="s">
        <v>129</v>
      </c>
      <c r="B65" s="13">
        <f>B64</f>
        <v>1333.33</v>
      </c>
    </row>
    <row r="66" spans="1:2" x14ac:dyDescent="0.25">
      <c r="A66" s="12" t="s">
        <v>128</v>
      </c>
      <c r="B66" s="11"/>
    </row>
    <row r="67" spans="1:2" x14ac:dyDescent="0.25">
      <c r="A67" s="12" t="s">
        <v>127</v>
      </c>
      <c r="B67" s="14">
        <f>788648.79</f>
        <v>788648.79</v>
      </c>
    </row>
    <row r="68" spans="1:2" x14ac:dyDescent="0.25">
      <c r="A68" s="12" t="s">
        <v>126</v>
      </c>
      <c r="B68" s="14">
        <f>586254.83</f>
        <v>586254.82999999996</v>
      </c>
    </row>
    <row r="69" spans="1:2" x14ac:dyDescent="0.25">
      <c r="A69" s="12" t="s">
        <v>125</v>
      </c>
      <c r="B69" s="14">
        <f>23466.99</f>
        <v>23466.99</v>
      </c>
    </row>
    <row r="70" spans="1:2" x14ac:dyDescent="0.25">
      <c r="A70" s="12" t="s">
        <v>124</v>
      </c>
      <c r="B70" s="14">
        <f>417065.77</f>
        <v>417065.77</v>
      </c>
    </row>
    <row r="71" spans="1:2" x14ac:dyDescent="0.25">
      <c r="A71" s="12" t="s">
        <v>123</v>
      </c>
      <c r="B71" s="14">
        <f>-69791.2</f>
        <v>-69791.199999999997</v>
      </c>
    </row>
    <row r="72" spans="1:2" x14ac:dyDescent="0.25">
      <c r="A72" s="12" t="s">
        <v>122</v>
      </c>
      <c r="B72" s="13">
        <f>((((B67)+(B68))+(B69))+(B70))+(B71)</f>
        <v>1745645.1800000002</v>
      </c>
    </row>
    <row r="73" spans="1:2" x14ac:dyDescent="0.25">
      <c r="A73" s="12" t="s">
        <v>121</v>
      </c>
      <c r="B73" s="13">
        <f>(B65)+(B72)</f>
        <v>1746978.5100000002</v>
      </c>
    </row>
    <row r="74" spans="1:2" x14ac:dyDescent="0.25">
      <c r="A74" s="12"/>
      <c r="B74" s="11"/>
    </row>
    <row r="77" spans="1:2" x14ac:dyDescent="0.25">
      <c r="A77" s="22" t="s">
        <v>120</v>
      </c>
      <c r="B77" s="19"/>
    </row>
  </sheetData>
  <mergeCells count="4">
    <mergeCell ref="A77:B77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vs. Actuals</vt:lpstr>
      <vt:lpstr>Profit and Loss</vt:lpstr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2020-10-04T17:51:25Z</dcterms:created>
  <dcterms:modified xsi:type="dcterms:W3CDTF">2020-10-04T18:14:07Z</dcterms:modified>
</cp:coreProperties>
</file>