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ndestefan/Desktop/"/>
    </mc:Choice>
  </mc:AlternateContent>
  <xr:revisionPtr revIDLastSave="0" documentId="13_ncr:1_{578B23AF-A7AA-5F40-95AC-F36134E1F973}" xr6:coauthVersionLast="45" xr6:coauthVersionMax="45" xr10:uidLastSave="{00000000-0000-0000-0000-000000000000}"/>
  <bookViews>
    <workbookView xWindow="2540" yWindow="3500" windowWidth="23060" windowHeight="11380" activeTab="2" xr2:uid="{00000000-000D-0000-FFFF-FFFF00000000}"/>
  </bookViews>
  <sheets>
    <sheet name="1ST BUDGET DRAFT" sheetId="1" r:id="rId1"/>
    <sheet name="FINAL DRAFT W NOTES" sheetId="3" r:id="rId2"/>
    <sheet name="CLEAN 2021 DRAFT BUDGET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" i="4" l="1"/>
  <c r="B9" i="4"/>
  <c r="B10" i="4"/>
  <c r="B14" i="4"/>
  <c r="B15" i="4"/>
  <c r="B16" i="4" s="1"/>
  <c r="B18" i="4"/>
  <c r="B21" i="4"/>
  <c r="B22" i="4" s="1"/>
  <c r="B23" i="4"/>
  <c r="B28" i="4"/>
  <c r="B29" i="4"/>
  <c r="B36" i="4" s="1"/>
  <c r="B30" i="4"/>
  <c r="B31" i="4"/>
  <c r="B32" i="4"/>
  <c r="B33" i="4"/>
  <c r="B34" i="4"/>
  <c r="B35" i="4"/>
  <c r="B38" i="4"/>
  <c r="B41" i="4" s="1"/>
  <c r="B39" i="4"/>
  <c r="B40" i="4"/>
  <c r="B43" i="4"/>
  <c r="B44" i="4"/>
  <c r="B45" i="4"/>
  <c r="B46" i="4"/>
  <c r="B47" i="4"/>
  <c r="B49" i="4"/>
  <c r="B50" i="4"/>
  <c r="B51" i="4"/>
  <c r="B52" i="4"/>
  <c r="B53" i="4"/>
  <c r="B54" i="4"/>
  <c r="B55" i="4"/>
  <c r="B56" i="4"/>
  <c r="B58" i="4"/>
  <c r="B59" i="4"/>
  <c r="B60" i="4"/>
  <c r="B61" i="4"/>
  <c r="B62" i="4"/>
  <c r="B65" i="4"/>
  <c r="B66" i="4"/>
  <c r="B67" i="4"/>
  <c r="B68" i="4"/>
  <c r="B69" i="4"/>
  <c r="B70" i="4"/>
  <c r="B71" i="4"/>
  <c r="B73" i="4"/>
  <c r="B74" i="4"/>
  <c r="B75" i="4"/>
  <c r="B76" i="4"/>
  <c r="B79" i="4"/>
  <c r="B80" i="4"/>
  <c r="B81" i="4"/>
  <c r="B82" i="4"/>
  <c r="B83" i="4"/>
  <c r="B85" i="4"/>
  <c r="B86" i="4" s="1"/>
  <c r="B88" i="4"/>
  <c r="B93" i="4" s="1"/>
  <c r="B89" i="4"/>
  <c r="B90" i="4"/>
  <c r="B91" i="4"/>
  <c r="B92" i="4"/>
  <c r="B77" i="4" l="1"/>
  <c r="B63" i="4"/>
  <c r="B19" i="4"/>
  <c r="B12" i="4"/>
  <c r="G130" i="3"/>
  <c r="B94" i="4" l="1"/>
  <c r="B24" i="4"/>
  <c r="B25" i="4" l="1"/>
  <c r="C133" i="1"/>
  <c r="G121" i="3"/>
  <c r="C48" i="1"/>
  <c r="F116" i="3"/>
  <c r="F117" i="3"/>
  <c r="F118" i="3"/>
  <c r="D119" i="3"/>
  <c r="F119" i="3" s="1"/>
  <c r="B95" i="4" l="1"/>
  <c r="C119" i="3"/>
  <c r="E119" i="3" s="1"/>
  <c r="D120" i="3"/>
  <c r="F120" i="3" s="1"/>
  <c r="G112" i="3"/>
  <c r="G106" i="3"/>
  <c r="G98" i="3"/>
  <c r="G86" i="3"/>
  <c r="G71" i="3"/>
  <c r="G62" i="3"/>
  <c r="G56" i="3"/>
  <c r="G49" i="3"/>
  <c r="G27" i="3"/>
  <c r="G23" i="3"/>
  <c r="G19" i="3"/>
  <c r="G15" i="3"/>
  <c r="F8" i="3"/>
  <c r="C9" i="3"/>
  <c r="D9" i="3"/>
  <c r="C10" i="3"/>
  <c r="D10" i="3"/>
  <c r="C11" i="3"/>
  <c r="D11" i="3"/>
  <c r="C12" i="3"/>
  <c r="D12" i="3"/>
  <c r="D13" i="3"/>
  <c r="F13" i="3" s="1"/>
  <c r="D14" i="3"/>
  <c r="E14" i="3" s="1"/>
  <c r="F16" i="3"/>
  <c r="C17" i="3"/>
  <c r="D17" i="3"/>
  <c r="D19" i="3" s="1"/>
  <c r="F20" i="3"/>
  <c r="C21" i="3"/>
  <c r="D21" i="3"/>
  <c r="C22" i="3"/>
  <c r="D22" i="3"/>
  <c r="F24" i="3"/>
  <c r="D25" i="3"/>
  <c r="E25" i="3" s="1"/>
  <c r="C26" i="3"/>
  <c r="C27" i="3" s="1"/>
  <c r="D26" i="3"/>
  <c r="C28" i="3"/>
  <c r="E28" i="3" s="1"/>
  <c r="F28" i="3"/>
  <c r="C29" i="3"/>
  <c r="E29" i="3" s="1"/>
  <c r="F29" i="3"/>
  <c r="F33" i="3"/>
  <c r="C34" i="3"/>
  <c r="D34" i="3"/>
  <c r="D35" i="3"/>
  <c r="F35" i="3" s="1"/>
  <c r="D36" i="3"/>
  <c r="E36" i="3" s="1"/>
  <c r="C37" i="3"/>
  <c r="D37" i="3"/>
  <c r="C38" i="3"/>
  <c r="D38" i="3"/>
  <c r="C39" i="3"/>
  <c r="D39" i="3"/>
  <c r="C40" i="3"/>
  <c r="D40" i="3"/>
  <c r="C41" i="3"/>
  <c r="D41" i="3"/>
  <c r="D42" i="3"/>
  <c r="E42" i="3" s="1"/>
  <c r="C44" i="3"/>
  <c r="D44" i="3"/>
  <c r="C45" i="3"/>
  <c r="D45" i="3"/>
  <c r="C46" i="3"/>
  <c r="D46" i="3"/>
  <c r="C47" i="3"/>
  <c r="D47" i="3"/>
  <c r="C48" i="3"/>
  <c r="D48" i="3"/>
  <c r="F50" i="3"/>
  <c r="C54" i="3"/>
  <c r="C56" i="3" s="1"/>
  <c r="D54" i="3"/>
  <c r="D56" i="3" s="1"/>
  <c r="F57" i="3"/>
  <c r="C58" i="3"/>
  <c r="D58" i="3"/>
  <c r="C59" i="3"/>
  <c r="D59" i="3"/>
  <c r="C60" i="3"/>
  <c r="D60" i="3"/>
  <c r="F63" i="3"/>
  <c r="C64" i="3"/>
  <c r="D64" i="3"/>
  <c r="D65" i="3"/>
  <c r="E65" i="3" s="1"/>
  <c r="D67" i="3"/>
  <c r="F67" i="3" s="1"/>
  <c r="F72" i="3"/>
  <c r="D73" i="3"/>
  <c r="E73" i="3" s="1"/>
  <c r="C74" i="3"/>
  <c r="D74" i="3"/>
  <c r="C77" i="3"/>
  <c r="D77" i="3"/>
  <c r="C78" i="3"/>
  <c r="D78" i="3"/>
  <c r="C79" i="3"/>
  <c r="D79" i="3"/>
  <c r="C80" i="3"/>
  <c r="D80" i="3"/>
  <c r="C81" i="3"/>
  <c r="D81" i="3"/>
  <c r="C82" i="3"/>
  <c r="D82" i="3"/>
  <c r="C83" i="3"/>
  <c r="D83" i="3"/>
  <c r="C84" i="3"/>
  <c r="E84" i="3" s="1"/>
  <c r="F84" i="3"/>
  <c r="C85" i="3"/>
  <c r="D85" i="3"/>
  <c r="F87" i="3"/>
  <c r="C88" i="3"/>
  <c r="D88" i="3"/>
  <c r="D90" i="3"/>
  <c r="E90" i="3" s="1"/>
  <c r="C91" i="3"/>
  <c r="D91" i="3"/>
  <c r="C93" i="3"/>
  <c r="D93" i="3"/>
  <c r="D94" i="3"/>
  <c r="E94" i="3" s="1"/>
  <c r="C95" i="3"/>
  <c r="D95" i="3"/>
  <c r="C97" i="3"/>
  <c r="D97" i="3"/>
  <c r="F99" i="3"/>
  <c r="C100" i="3"/>
  <c r="D100" i="3"/>
  <c r="D101" i="3"/>
  <c r="F101" i="3" s="1"/>
  <c r="C102" i="3"/>
  <c r="D102" i="3"/>
  <c r="D104" i="3"/>
  <c r="E104" i="3" s="1"/>
  <c r="D105" i="3"/>
  <c r="E105" i="3" s="1"/>
  <c r="F107" i="3"/>
  <c r="C109" i="3"/>
  <c r="D109" i="3"/>
  <c r="C110" i="3"/>
  <c r="E110" i="3" s="1"/>
  <c r="F110" i="3"/>
  <c r="F114" i="3"/>
  <c r="D115" i="3"/>
  <c r="E115" i="3" s="1"/>
  <c r="F122" i="3"/>
  <c r="D125" i="3"/>
  <c r="E125" i="3" s="1"/>
  <c r="D127" i="3"/>
  <c r="E127" i="3" s="1"/>
  <c r="C129" i="3"/>
  <c r="C130" i="3" s="1"/>
  <c r="D129" i="3"/>
  <c r="D131" i="3"/>
  <c r="E131" i="3" s="1"/>
  <c r="C132" i="1"/>
  <c r="C85" i="1"/>
  <c r="C27" i="1"/>
  <c r="C23" i="1"/>
  <c r="C19" i="1"/>
  <c r="B96" i="4" l="1"/>
  <c r="E59" i="3"/>
  <c r="F25" i="3"/>
  <c r="F11" i="3"/>
  <c r="E9" i="3"/>
  <c r="C62" i="3"/>
  <c r="D27" i="3"/>
  <c r="E27" i="3" s="1"/>
  <c r="G132" i="3"/>
  <c r="C120" i="3"/>
  <c r="E120" i="3" s="1"/>
  <c r="D23" i="3"/>
  <c r="F95" i="3"/>
  <c r="E85" i="3"/>
  <c r="E83" i="3"/>
  <c r="E81" i="3"/>
  <c r="E79" i="3"/>
  <c r="E77" i="3"/>
  <c r="E91" i="3"/>
  <c r="E47" i="3"/>
  <c r="E45" i="3"/>
  <c r="E12" i="3"/>
  <c r="F102" i="3"/>
  <c r="C86" i="3"/>
  <c r="E67" i="3"/>
  <c r="F125" i="3"/>
  <c r="E93" i="3"/>
  <c r="F88" i="3"/>
  <c r="F100" i="3"/>
  <c r="F94" i="3"/>
  <c r="F91" i="3"/>
  <c r="E60" i="3"/>
  <c r="F48" i="3"/>
  <c r="F46" i="3"/>
  <c r="F44" i="3"/>
  <c r="E11" i="3"/>
  <c r="E10" i="3"/>
  <c r="G30" i="3"/>
  <c r="C15" i="3"/>
  <c r="F109" i="3"/>
  <c r="F105" i="3"/>
  <c r="F93" i="3"/>
  <c r="D71" i="3"/>
  <c r="E35" i="3"/>
  <c r="F41" i="3"/>
  <c r="F39" i="3"/>
  <c r="E37" i="3"/>
  <c r="F115" i="3"/>
  <c r="F104" i="3"/>
  <c r="E102" i="3"/>
  <c r="F90" i="3"/>
  <c r="E54" i="3"/>
  <c r="F34" i="3"/>
  <c r="E21" i="3"/>
  <c r="F14" i="3"/>
  <c r="F12" i="3"/>
  <c r="D130" i="3"/>
  <c r="E130" i="3" s="1"/>
  <c r="F127" i="3"/>
  <c r="D62" i="3"/>
  <c r="F62" i="3" s="1"/>
  <c r="F60" i="3"/>
  <c r="E58" i="3"/>
  <c r="E56" i="3"/>
  <c r="F22" i="3"/>
  <c r="F10" i="3"/>
  <c r="E109" i="3"/>
  <c r="E100" i="3"/>
  <c r="F80" i="3"/>
  <c r="E74" i="3"/>
  <c r="E13" i="3"/>
  <c r="F82" i="3"/>
  <c r="F78" i="3"/>
  <c r="E64" i="3"/>
  <c r="F131" i="3"/>
  <c r="D112" i="3"/>
  <c r="E101" i="3"/>
  <c r="E97" i="3"/>
  <c r="D86" i="3"/>
  <c r="F73" i="3"/>
  <c r="E48" i="3"/>
  <c r="E46" i="3"/>
  <c r="E44" i="3"/>
  <c r="F36" i="3"/>
  <c r="C23" i="3"/>
  <c r="E23" i="3" s="1"/>
  <c r="E17" i="3"/>
  <c r="C98" i="3"/>
  <c r="C112" i="3"/>
  <c r="E112" i="3" s="1"/>
  <c r="E88" i="3"/>
  <c r="F59" i="3"/>
  <c r="F58" i="3"/>
  <c r="C49" i="3"/>
  <c r="F47" i="3"/>
  <c r="F45" i="3"/>
  <c r="E40" i="3"/>
  <c r="F38" i="3"/>
  <c r="C19" i="3"/>
  <c r="F19" i="3" s="1"/>
  <c r="F56" i="3"/>
  <c r="F54" i="3"/>
  <c r="E34" i="3"/>
  <c r="E22" i="3"/>
  <c r="F21" i="3"/>
  <c r="G31" i="3"/>
  <c r="F27" i="3"/>
  <c r="D121" i="3"/>
  <c r="F121" i="3" s="1"/>
  <c r="F97" i="3"/>
  <c r="F83" i="3"/>
  <c r="F81" i="3"/>
  <c r="F79" i="3"/>
  <c r="F77" i="3"/>
  <c r="F74" i="3"/>
  <c r="C71" i="3"/>
  <c r="F64" i="3"/>
  <c r="F40" i="3"/>
  <c r="F37" i="3"/>
  <c r="E129" i="3"/>
  <c r="D106" i="3"/>
  <c r="D98" i="3"/>
  <c r="E95" i="3"/>
  <c r="F85" i="3"/>
  <c r="E82" i="3"/>
  <c r="E80" i="3"/>
  <c r="E78" i="3"/>
  <c r="F65" i="3"/>
  <c r="F42" i="3"/>
  <c r="E41" i="3"/>
  <c r="E39" i="3"/>
  <c r="E38" i="3"/>
  <c r="E26" i="3"/>
  <c r="F17" i="3"/>
  <c r="D15" i="3"/>
  <c r="F129" i="3"/>
  <c r="F26" i="3"/>
  <c r="C106" i="3"/>
  <c r="D49" i="3"/>
  <c r="F9" i="3"/>
  <c r="C45" i="1"/>
  <c r="F130" i="3" l="1"/>
  <c r="E19" i="3"/>
  <c r="C30" i="3"/>
  <c r="E71" i="3"/>
  <c r="F86" i="3"/>
  <c r="E86" i="3"/>
  <c r="E62" i="3"/>
  <c r="F98" i="3"/>
  <c r="F106" i="3"/>
  <c r="F112" i="3"/>
  <c r="F23" i="3"/>
  <c r="G134" i="3"/>
  <c r="G133" i="3"/>
  <c r="F49" i="3"/>
  <c r="D132" i="3"/>
  <c r="E106" i="3"/>
  <c r="C31" i="3"/>
  <c r="E98" i="3"/>
  <c r="F15" i="3"/>
  <c r="D30" i="3"/>
  <c r="E15" i="3"/>
  <c r="E49" i="3"/>
  <c r="F71" i="3"/>
  <c r="C63" i="1"/>
  <c r="C70" i="1" s="1"/>
  <c r="E30" i="3" l="1"/>
  <c r="C121" i="3"/>
  <c r="D31" i="3"/>
  <c r="F30" i="3"/>
  <c r="E88" i="1"/>
  <c r="E121" i="3" l="1"/>
  <c r="C132" i="3"/>
  <c r="D133" i="3"/>
  <c r="F31" i="3"/>
  <c r="E31" i="3"/>
  <c r="E98" i="1"/>
  <c r="E132" i="3" l="1"/>
  <c r="F132" i="3"/>
  <c r="C133" i="3"/>
  <c r="F133" i="3" s="1"/>
  <c r="D134" i="3"/>
  <c r="C121" i="1"/>
  <c r="C118" i="1"/>
  <c r="C119" i="1" s="1"/>
  <c r="C109" i="1"/>
  <c r="C112" i="1" s="1"/>
  <c r="C102" i="1"/>
  <c r="C101" i="1"/>
  <c r="C95" i="1"/>
  <c r="C98" i="1" s="1"/>
  <c r="C82" i="1"/>
  <c r="C81" i="1"/>
  <c r="C80" i="1"/>
  <c r="C79" i="1"/>
  <c r="C78" i="1"/>
  <c r="C77" i="1"/>
  <c r="C76" i="1"/>
  <c r="C59" i="1"/>
  <c r="C57" i="1"/>
  <c r="C61" i="1" s="1"/>
  <c r="C53" i="1"/>
  <c r="C55" i="1" s="1"/>
  <c r="C46" i="1"/>
  <c r="C36" i="1"/>
  <c r="C34" i="1"/>
  <c r="C11" i="1"/>
  <c r="C15" i="1" s="1"/>
  <c r="C30" i="1" s="1"/>
  <c r="C134" i="1" l="1"/>
  <c r="C106" i="1"/>
  <c r="C134" i="3"/>
  <c r="E134" i="3" s="1"/>
  <c r="E133" i="3"/>
  <c r="C120" i="1"/>
  <c r="F134" i="3" l="1"/>
  <c r="C135" i="1"/>
</calcChain>
</file>

<file path=xl/sharedStrings.xml><?xml version="1.0" encoding="utf-8"?>
<sst xmlns="http://schemas.openxmlformats.org/spreadsheetml/2006/main" count="585" uniqueCount="367">
  <si>
    <t>Budget</t>
  </si>
  <si>
    <t>Income</t>
  </si>
  <si>
    <t xml:space="preserve">   4100 Dues &amp; Conference</t>
  </si>
  <si>
    <t xml:space="preserve">      4115 Dues - National Subvention</t>
  </si>
  <si>
    <t xml:space="preserve">      4120 Dues - Chapter Only</t>
  </si>
  <si>
    <t xml:space="preserve">      4127 Pre-Conference Session Profit</t>
  </si>
  <si>
    <t xml:space="preserve">      4128 Extra Conference Profit 2016 for Allocation</t>
  </si>
  <si>
    <t xml:space="preserve">   Total 4100 Dues &amp; Conference</t>
  </si>
  <si>
    <t xml:space="preserve">   4200 Administrative Income</t>
  </si>
  <si>
    <t xml:space="preserve">      4205 Extra Award Reimb</t>
  </si>
  <si>
    <t xml:space="preserve">   Total 4200 Administrative Income</t>
  </si>
  <si>
    <t xml:space="preserve">   4400 Professional Development Income</t>
  </si>
  <si>
    <t xml:space="preserve">      4410 Webcast/Workshop Income</t>
  </si>
  <si>
    <t xml:space="preserve">   Total 4400 Professional Development Income</t>
  </si>
  <si>
    <t xml:space="preserve">   4500 Public Information Income</t>
  </si>
  <si>
    <t xml:space="preserve">      4510 News - Ads</t>
  </si>
  <si>
    <t xml:space="preserve">   Total 4500 Public Information Income</t>
  </si>
  <si>
    <t xml:space="preserve">   9200 Federal Tax Return</t>
  </si>
  <si>
    <t>Total Income</t>
  </si>
  <si>
    <t>Gross Profit</t>
  </si>
  <si>
    <t>Expenses</t>
  </si>
  <si>
    <t xml:space="preserve">   5100 Operations Expense</t>
  </si>
  <si>
    <t xml:space="preserve">      5105 Management</t>
  </si>
  <si>
    <t xml:space="preserve">      5110 Operations/Miscellaneous</t>
  </si>
  <si>
    <t xml:space="preserve">      5115 Board Meetings</t>
  </si>
  <si>
    <t xml:space="preserve">      5120 Insurance Expense</t>
  </si>
  <si>
    <t xml:space="preserve">      5125 Board Retreat</t>
  </si>
  <si>
    <t xml:space="preserve">      5140 Telephone/Fax</t>
  </si>
  <si>
    <t xml:space="preserve">      5145 Office Supplies</t>
  </si>
  <si>
    <t xml:space="preserve">      5150 Postage</t>
  </si>
  <si>
    <t xml:space="preserve">      5155 Dues &amp; Subscriptions</t>
  </si>
  <si>
    <t xml:space="preserve">      5170 Storage</t>
  </si>
  <si>
    <t xml:space="preserve">      5175 Merchant Credit Card Fee</t>
  </si>
  <si>
    <t xml:space="preserve">      5180 ATEGO Resources</t>
  </si>
  <si>
    <t xml:space="preserve">      5185 New Horizon Enterprise</t>
  </si>
  <si>
    <t xml:space="preserve">      5190 Bank Charges</t>
  </si>
  <si>
    <t xml:space="preserve">   Total 5100 Operations Expense</t>
  </si>
  <si>
    <t xml:space="preserve">   5200 President Expense</t>
  </si>
  <si>
    <t xml:space="preserve">      5220 President-Elect/Past President</t>
  </si>
  <si>
    <t xml:space="preserve">   Total 5200 President Expense</t>
  </si>
  <si>
    <t xml:space="preserve">   5300 Policy &amp; Legislation</t>
  </si>
  <si>
    <t xml:space="preserve">      5305 Lobbying Expenses</t>
  </si>
  <si>
    <t xml:space="preserve">      5310 FPPC Quarterly Filing Fees</t>
  </si>
  <si>
    <t xml:space="preserve">      5315 VP Policy &amp; Legislation/Review</t>
  </si>
  <si>
    <t xml:space="preserve">   Total 5300 Policy &amp; Legislation</t>
  </si>
  <si>
    <t xml:space="preserve">   5400 Professional Development</t>
  </si>
  <si>
    <t xml:space="preserve">      5402 APA Anniversary Activities</t>
  </si>
  <si>
    <t xml:space="preserve">      5415 Webinars/Workshops</t>
  </si>
  <si>
    <t xml:space="preserve">      5420 AICP Publications</t>
  </si>
  <si>
    <t xml:space="preserve">   Total 5400 Professional Development</t>
  </si>
  <si>
    <t xml:space="preserve">   5500 Public Information Expense</t>
  </si>
  <si>
    <t xml:space="preserve">      5505 V.P. for Public Information Exp</t>
  </si>
  <si>
    <t xml:space="preserve">      5515 News Distributions - ATEGO</t>
  </si>
  <si>
    <t xml:space="preserve">      5520 News &amp; Design - Gran Designs</t>
  </si>
  <si>
    <t xml:space="preserve">      5521 News Production - Proofreader</t>
  </si>
  <si>
    <t xml:space="preserve">      5525 News Management - NHE</t>
  </si>
  <si>
    <t xml:space="preserve">      5530 Awards Program - Website Update</t>
  </si>
  <si>
    <t xml:space="preserve">      5535 Webmaster - ATEGO</t>
  </si>
  <si>
    <t xml:space="preserve">      5540 Website Hosting/Support</t>
  </si>
  <si>
    <t xml:space="preserve">      5545 Website Redesign</t>
  </si>
  <si>
    <t xml:space="preserve">      5555 Other Public Information</t>
  </si>
  <si>
    <t xml:space="preserve">   Total 5500 Public Information Expense</t>
  </si>
  <si>
    <t xml:space="preserve">      5610 Awards</t>
  </si>
  <si>
    <t xml:space="preserve">      5615 Extra Award Expense</t>
  </si>
  <si>
    <t xml:space="preserve">      5620 Bookkeeping/Accounting/Tax Services</t>
  </si>
  <si>
    <t xml:space="preserve">      5625 Reserves/Savings Contributions</t>
  </si>
  <si>
    <t xml:space="preserve">      5630 UBIT Tax-Unrelated Business Inc</t>
  </si>
  <si>
    <t xml:space="preserve">      5645 Annual Report</t>
  </si>
  <si>
    <t xml:space="preserve">      5650 QBO Fee + Section Access</t>
  </si>
  <si>
    <t xml:space="preserve">      5669 Future Expenditures</t>
  </si>
  <si>
    <t xml:space="preserve">   Total 5600 Administrative</t>
  </si>
  <si>
    <t xml:space="preserve">   5700 Section Subventions</t>
  </si>
  <si>
    <t xml:space="preserve">      5705 Section Dues Rebates</t>
  </si>
  <si>
    <t xml:space="preserve">      5706 CM Fees</t>
  </si>
  <si>
    <t xml:space="preserve">      5715 Section State Conference Rebate</t>
  </si>
  <si>
    <t xml:space="preserve">      5725 Section Chapter-Only Rebate</t>
  </si>
  <si>
    <t xml:space="preserve">      5730 Section Grants &amp; Projects/Extra 2016 Conf Profits</t>
  </si>
  <si>
    <t xml:space="preserve">   Total 5700 Section Subventions</t>
  </si>
  <si>
    <t xml:space="preserve">   5900 Other Expenses</t>
  </si>
  <si>
    <t xml:space="preserve">      5915 CSUN Archives</t>
  </si>
  <si>
    <t xml:space="preserve">      5920 Miscellaneous Expense</t>
  </si>
  <si>
    <t xml:space="preserve">   Total 5900 Other Expenses</t>
  </si>
  <si>
    <t xml:space="preserve">   6200 Conferences</t>
  </si>
  <si>
    <t xml:space="preserve">      6480 Social Media</t>
  </si>
  <si>
    <t xml:space="preserve">         6481 Website</t>
  </si>
  <si>
    <t xml:space="preserve">            6481.1 Hosting</t>
  </si>
  <si>
    <t xml:space="preserve">         Total 6481 Website</t>
  </si>
  <si>
    <t xml:space="preserve">      Total 6480 Social Media</t>
  </si>
  <si>
    <t xml:space="preserve">   Total 6200 Conferences</t>
  </si>
  <si>
    <t xml:space="preserve">   6205 VP Conference Expense</t>
  </si>
  <si>
    <t xml:space="preserve">   6300 Marketing &amp; Membership</t>
  </si>
  <si>
    <t xml:space="preserve">      6320 Great Places</t>
  </si>
  <si>
    <t xml:space="preserve">      6335 Membership Programs</t>
  </si>
  <si>
    <t xml:space="preserve">   Total 6300 Marketing &amp; Membership</t>
  </si>
  <si>
    <t xml:space="preserve">   6439 Pre-Conference Session Expenses</t>
  </si>
  <si>
    <t>Total Expenses</t>
  </si>
  <si>
    <t>Net Operating Income</t>
  </si>
  <si>
    <t>Net Income</t>
  </si>
  <si>
    <t>American Planning Assoc. California Chapter</t>
  </si>
  <si>
    <t>January - December 2020</t>
  </si>
  <si>
    <t>pending contract review</t>
  </si>
  <si>
    <t>CVENT expense that will go away (?)</t>
  </si>
  <si>
    <t>Delete line item</t>
  </si>
  <si>
    <t>placed in reserves. Delete as corresponding 4126 Conference Proft Prior Year will be deleted in 2021 budget</t>
  </si>
  <si>
    <t>Merge 5615 into this. Slight increase for technology upgrades for online Awards application and video program. Not assuming in-person State jury deliberation in June 2021, if Board retreat is virtual.</t>
  </si>
  <si>
    <t>Based on actual 2020</t>
  </si>
  <si>
    <t>166 members x $125</t>
  </si>
  <si>
    <t>120,000 = expected in 2021 budget year - Change name to Conference Profit Received in Budget Year - 2020 may be closed in 2020</t>
  </si>
  <si>
    <t>Because 2020 most likely will be booked in 2020, this LI can be used to distribute amount of profit over base needed for cash flow over $120,000 for allocation to new/expanded programs</t>
  </si>
  <si>
    <t>Delete - used for membership programs in 2020</t>
  </si>
  <si>
    <t>Will there be preconference session?</t>
  </si>
  <si>
    <t>In 2021?</t>
  </si>
  <si>
    <t>from 2020 conf</t>
  </si>
  <si>
    <t>Collapse 4 conference accounts into 1 to avoid constant transfers and excess accounting headaches</t>
  </si>
  <si>
    <t>Use classes to separate different conference years</t>
  </si>
  <si>
    <t>Laura: What is the base amount needed in conference account to cover 4 years of conferences?</t>
  </si>
  <si>
    <t>Need to feed the account (from conference profits to Chapter) to reach that number - that will remain seed money = the Chapter's money - it will be replaced each year before conference profits are allocated</t>
  </si>
  <si>
    <t>NOTES:</t>
  </si>
  <si>
    <t>Conference account</t>
  </si>
  <si>
    <t>4206 - Insurance Income (paid back to Chapter for general liaiblity and officers and directors ins from Sections and CPF)</t>
  </si>
  <si>
    <t>Are ACIP materials now on line? Is this still necessary?</t>
  </si>
  <si>
    <t>Increase to reflect first full year of charging for majority of webinars</t>
  </si>
  <si>
    <t>Delete - all ads are now on web and in Web Ad</t>
  </si>
  <si>
    <t>LI 4520</t>
  </si>
  <si>
    <t>Rename this Web Ad &amp; Subscriptions combining with LI 4515 News Subscriptions</t>
  </si>
  <si>
    <t>37,000 based om total 2019</t>
  </si>
  <si>
    <t>Rename Annual Chapter Sponsor - Not sure how calculated for budget purposes - talking to Deene Chapter share vs Conf Share</t>
  </si>
  <si>
    <t>Delete - Accountant believes this isn't a budget item - it is rare and unlikely to be much of a bump in revenue</t>
  </si>
  <si>
    <t>This amount would include collapsing into this one account: LI's 5140, 5145, 5150, 5165 (copies) - no need for separate LI and can simplify this section of the budget</t>
  </si>
  <si>
    <t>Total insurance for gen liab and directors and officers insurance - Sections and CPF pay back their share in LI 4206</t>
  </si>
  <si>
    <t>Collapse into 5110</t>
  </si>
  <si>
    <t>Delete - not used</t>
  </si>
  <si>
    <t>Per Exec Director contract for file storage in a storage company</t>
  </si>
  <si>
    <t>Pending contract review</t>
  </si>
  <si>
    <t>For credit card payments from members for renewing online, web ads, webcast fees, and Paypal transactions</t>
  </si>
  <si>
    <t xml:space="preserve">5205 Meals should be change to President Expenses </t>
  </si>
  <si>
    <t>LI 5210 Meeting &amp; Conf - State and 5215 Travel National - Needed in 2021?</t>
  </si>
  <si>
    <t>LI 5230 Student Rep Expenses - 100?</t>
  </si>
  <si>
    <t>5320 National Leg Rep? Need anything in 2021</t>
  </si>
  <si>
    <t>5425 Student Development? Needed? No budget last year</t>
  </si>
  <si>
    <t>Should this remain $250 rather than $100?</t>
  </si>
  <si>
    <t>2020 actual includes $6206.70 to DG for National membership integration with CVENT and under dispute - Conf exp?</t>
  </si>
  <si>
    <t>Unless Board decides to include substantial funds for this effort it should be 0</t>
  </si>
  <si>
    <t>Used for Survey Monkey for membership survey - still needed in 2021?</t>
  </si>
  <si>
    <t>Delete 5410 Workshops - now in 5415</t>
  </si>
  <si>
    <t>$33,000 based on Laura's suggestion</t>
  </si>
  <si>
    <t>Put in one place all of their line items?</t>
  </si>
  <si>
    <t>What is directory main?</t>
  </si>
  <si>
    <t>Laura: maybe ongoing for items Chapter pays up front for Conf Host Sections - Option: take these amounts out of conf accts to be paid back but needs funding</t>
  </si>
  <si>
    <t>Does National still charge these to Chapter and Sections?</t>
  </si>
  <si>
    <t>? This is the normal profit split of $120,000 base profit expected</t>
  </si>
  <si>
    <t>$15 per member</t>
  </si>
  <si>
    <t>$15 x 166 Chapter Only Members</t>
  </si>
  <si>
    <t xml:space="preserve">Full National grant not recovered - for Diversity and Equity training </t>
  </si>
  <si>
    <t>Not needed in 2021 so delete</t>
  </si>
  <si>
    <t>LI 5905 Chapter Historian - Need more?</t>
  </si>
  <si>
    <t>LI 5925 PEN Expense $100</t>
  </si>
  <si>
    <t>LI 6310 VP Diversity &amp; Equity already in budget but not funded last year - $100</t>
  </si>
  <si>
    <t>LI 6100 Comm &amp; Bd Rep - $100</t>
  </si>
  <si>
    <t>Remove these line items - they are conference line items</t>
  </si>
  <si>
    <t>Will this be chosen in 2021?</t>
  </si>
  <si>
    <t>Ben's contract and other membership programs - will have to be refunded based on what Board decides</t>
  </si>
  <si>
    <t>? To be done in 2021?</t>
  </si>
  <si>
    <t>$800 extra awards orders/have offset expenses</t>
  </si>
  <si>
    <t>5% less than 2020 actual</t>
  </si>
  <si>
    <t>None ordered by members</t>
  </si>
  <si>
    <t>Roll into 5110</t>
  </si>
  <si>
    <t>GET VPDO number</t>
  </si>
  <si>
    <t>NHE/ARTEGO can consolidate and Laura Dee can track back Web Ad revenues to their contract for UBIT</t>
  </si>
  <si>
    <t>DELETE, PUT IN CONFERENCE</t>
  </si>
  <si>
    <t>40% PLUS 20% HOST AND SECTIONS</t>
  </si>
  <si>
    <t>5500 line items are Ellie #s</t>
  </si>
  <si>
    <t>4125 Conference Profit 2021</t>
  </si>
  <si>
    <t>4126 Conference Profit 2020 - Budgeted for Programs</t>
  </si>
  <si>
    <t>4206 Insurance Income</t>
  </si>
  <si>
    <t>New LI - Amount of Gen Liability and Officers &amp; Directors Ins paid back to Chapter from Sections &amp; CPF- See LI 5120</t>
  </si>
  <si>
    <t>4520 Webads and Newletter Subscriptions</t>
  </si>
  <si>
    <t>4700 Annual Chapter Sponsors</t>
  </si>
  <si>
    <t>and 5170</t>
  </si>
  <si>
    <t>Delete - Going to cell phone for SG</t>
  </si>
  <si>
    <t>5205 President Expenses</t>
  </si>
  <si>
    <t>5210 Meeting and Conference Expenses - State</t>
  </si>
  <si>
    <t>5215 Travel Expenses - National Conference</t>
  </si>
  <si>
    <t>5230 Student Rep</t>
  </si>
  <si>
    <t>Julia and Ashley - will these line items need funding for 2021?</t>
  </si>
  <si>
    <t>5320 National Legislative Rep</t>
  </si>
  <si>
    <t>5405 VP Prof Dev Expenses</t>
  </si>
  <si>
    <t>??</t>
  </si>
  <si>
    <t>6 month contract</t>
  </si>
  <si>
    <t>5665 Travel/National Conferences/Staff</t>
  </si>
  <si>
    <t>5720 Section Conference Rebate - Prior Year</t>
  </si>
  <si>
    <t>Not used - goes to programs/membership Delete</t>
  </si>
  <si>
    <t>5905 Chapter Historian</t>
  </si>
  <si>
    <t>5925 PEN Expenses</t>
  </si>
  <si>
    <t>6310 VP Diversity &amp; Equity</t>
  </si>
  <si>
    <t>$5000 per VP request</t>
  </si>
  <si>
    <t>6305 VP Marketing &amp; Membership Expenses</t>
  </si>
  <si>
    <t>6315 Emerging Planners</t>
  </si>
  <si>
    <t>6325 University Liaison</t>
  </si>
  <si>
    <r>
      <t>f</t>
    </r>
    <r>
      <rPr>
        <b/>
        <sz val="11"/>
        <color rgb="FF0070C0"/>
        <rFont val="Calibri (Body)"/>
      </rPr>
      <t>rom 2020 conf profits?</t>
    </r>
  </si>
  <si>
    <t>Add Zoom exp here too</t>
  </si>
  <si>
    <t>Future expenditures to be spread out over 8 conferences should also be funded out of this account rather than Chapter budget</t>
  </si>
  <si>
    <t>5600 Administration</t>
  </si>
  <si>
    <t>5605 VP Administration Expenses</t>
  </si>
  <si>
    <t>CM Maintenance and Distance Education – Contractor</t>
  </si>
  <si>
    <t>Newsletter - Contractor</t>
  </si>
  <si>
    <t>Awards - Contractor</t>
  </si>
  <si>
    <t>Membership Management - Contractor</t>
  </si>
  <si>
    <t>SUM OF ITEMS 5515-5525</t>
  </si>
  <si>
    <t xml:space="preserve">      5510 Advertising &amp; Directory Maintenance - NHE</t>
  </si>
  <si>
    <t>Website and Social Media - Contractor</t>
  </si>
  <si>
    <t>SUM OF ITEMS 5540-5545, TAKE $13,500 FROM ITEM 5180</t>
  </si>
  <si>
    <t>MOVED TO VP PROFESSIONAL DEVELOPMENT AND VP MEMBERSHIP. Pending contract review</t>
  </si>
  <si>
    <t>MOVED HALF OF CURRENT BUDGET ($27k) TO VP PUBLIC INFORMATION. Pending contract review</t>
  </si>
  <si>
    <t>TAKEN FROM DELETED ITEM 5185</t>
  </si>
  <si>
    <t>TAKEN FROM ITEM 5530</t>
  </si>
  <si>
    <t>MOVED TO VP ADMINISTATION, AWARDS - CONTRACTOR. Pending contract review</t>
  </si>
  <si>
    <t>MODIFICATION TO ITEM DESCRIPTION. Pending contract review</t>
  </si>
  <si>
    <t>Laura: Can this be LI 5410 since that line item was deleted?</t>
  </si>
  <si>
    <t>Delete Anniversary Activieties and use LI for Webcast Online Management (Francine)</t>
  </si>
  <si>
    <t>Laura M.</t>
  </si>
  <si>
    <t>Change name to Statewide Webinars/Workshops - Use for Education and training focused on topics of statewide interest to be organized by Chapter Programs Coordinator</t>
  </si>
  <si>
    <t>Delete AICP Publications (no longer needed) and rename AICP Exam Training/Preparation</t>
  </si>
  <si>
    <t>$1000 and Log Me In $1900</t>
  </si>
  <si>
    <t>Carryover from 2020 expenses</t>
  </si>
  <si>
    <t>Info session and training focused on applying for and taking the AICP exam organized by AICP Exam Coordinator</t>
  </si>
  <si>
    <t>Rename AICP Exam Chapter Scholarships - Additional funding for AICP exam scholarship to supplement National funding - could be applied toward cost of exam application or study prep</t>
  </si>
  <si>
    <t xml:space="preserve">5416 FAICP and AICP Honors </t>
  </si>
  <si>
    <t>New item for awards (plaques, pins, etc.) to recognize new FAICP inductees to provide local recognition to supplement Nationally-issued honors</t>
  </si>
  <si>
    <t>New line item for YEP - Delete LI 6315 - Education and training focused on topics of interest to emerging planners to be organized by Young &amp; Emerging Planners (YEP) Coordinator.</t>
  </si>
  <si>
    <t>Delete - Now 5417</t>
  </si>
  <si>
    <t>5417 Young &amp; Emerging Planners Coordinator and Education</t>
  </si>
  <si>
    <t>Estimated by accountant for 2020</t>
  </si>
  <si>
    <t>In case there is a face to face meeting at conference</t>
  </si>
  <si>
    <t>For retreat coordinator</t>
  </si>
  <si>
    <t>Actual</t>
  </si>
  <si>
    <t>DRAFT BUDGET VERSION 4 11 16 20</t>
  </si>
  <si>
    <t xml:space="preserve">      4405 AICP Publications DELETE THIS</t>
  </si>
  <si>
    <t>d</t>
  </si>
  <si>
    <t>Monday, Nov 16, 2020 05:59:41 PM GMT-8 - Cash Basis</t>
  </si>
  <si>
    <t xml:space="preserve">      6325 University Liaison</t>
  </si>
  <si>
    <t xml:space="preserve">      6310 VP Diversity &amp; Equity</t>
  </si>
  <si>
    <t xml:space="preserve">      6305 VP Marketing &amp; Membership Expenses</t>
  </si>
  <si>
    <t>Delete</t>
  </si>
  <si>
    <t xml:space="preserve">      6205 VP Conference Expense (make sub of 6200)</t>
  </si>
  <si>
    <t xml:space="preserve">      5925 PEN Expense</t>
  </si>
  <si>
    <t xml:space="preserve">      5905 Chapter Historian</t>
  </si>
  <si>
    <t xml:space="preserve">      5720 Section Conference Rebate - Prior Year</t>
  </si>
  <si>
    <t xml:space="preserve">       5669 Future Expenditures</t>
  </si>
  <si>
    <t xml:space="preserve">      5612 Awards Contractor</t>
  </si>
  <si>
    <t xml:space="preserve">   5600 Administrative</t>
  </si>
  <si>
    <t xml:space="preserve">      5545 Website Redesign combine with LI5520</t>
  </si>
  <si>
    <t xml:space="preserve">      5540 Website Hosting/Support combine with LI5520</t>
  </si>
  <si>
    <t xml:space="preserve">      5530 Awards Program - Website Update moved to LI5612</t>
  </si>
  <si>
    <t xml:space="preserve">      5520  Website &amp; Social Media</t>
  </si>
  <si>
    <t xml:space="preserve">     (5) 5405 AICP Exam Chapter Scholar</t>
  </si>
  <si>
    <t xml:space="preserve">     (3) 5410 CM Maintenance and Distant Educator</t>
  </si>
  <si>
    <t xml:space="preserve">     (2) 5402 Website Online Management (Francine)</t>
  </si>
  <si>
    <t xml:space="preserve">     (1) 5415 Statewide Webinars/Workshops</t>
  </si>
  <si>
    <t xml:space="preserve">      5320 National Legislative Rep</t>
  </si>
  <si>
    <t xml:space="preserve">      5230 Student Reprsentative</t>
  </si>
  <si>
    <t xml:space="preserve">      5215 Travel Expenses - National Conference</t>
  </si>
  <si>
    <t xml:space="preserve">      5210 Meeting and Conference Expenses - State</t>
  </si>
  <si>
    <t xml:space="preserve">      5202 President Expenses</t>
  </si>
  <si>
    <t xml:space="preserve">      5165 Copies</t>
  </si>
  <si>
    <t xml:space="preserve">   4700 Annual Chapter Sponsorships</t>
  </si>
  <si>
    <t xml:space="preserve">      4520 Web Ads &amp; Newsletter Subscriptions</t>
  </si>
  <si>
    <t xml:space="preserve">      4405 AICP Publications</t>
  </si>
  <si>
    <t xml:space="preserve">      4206 Insurance Income</t>
  </si>
  <si>
    <t xml:space="preserve">      4126 Conference Profit 2020 - Budgeted for Programs</t>
  </si>
  <si>
    <t xml:space="preserve">      4125 Conference Profit 2021</t>
  </si>
  <si>
    <t>2021 Budget</t>
  </si>
  <si>
    <t>% of Budget</t>
  </si>
  <si>
    <t>over Budget</t>
  </si>
  <si>
    <t>Chapter</t>
  </si>
  <si>
    <t>Laura Dee's Budget Column</t>
  </si>
  <si>
    <t xml:space="preserve">5% less than actual </t>
  </si>
  <si>
    <t>166 Members x $125</t>
  </si>
  <si>
    <t>New estimate per Hanson</t>
  </si>
  <si>
    <t>Anticipates no pre-conf session</t>
  </si>
  <si>
    <t>0 left - used for mem prog in 2020</t>
  </si>
  <si>
    <t>Reimb from CPF &amp; Sect LI 5120</t>
  </si>
  <si>
    <t>AICP publications on line</t>
  </si>
  <si>
    <t>All ads now in 4520</t>
  </si>
  <si>
    <t>Renamed</t>
  </si>
  <si>
    <t>Renamed-Estimate only</t>
  </si>
  <si>
    <t>Chapter rarely gets tax return</t>
  </si>
  <si>
    <t>In case of in person Bd mtg at conf</t>
  </si>
  <si>
    <t>Gen liab &amp; Dir &amp; Officers Ins Prem</t>
  </si>
  <si>
    <t>For retreat coordinator Jan</t>
  </si>
  <si>
    <t>No longer will be used</t>
  </si>
  <si>
    <t>Now in 5110</t>
  </si>
  <si>
    <t>Not used</t>
  </si>
  <si>
    <t>For event/add credit card payments</t>
  </si>
  <si>
    <t>Moved 1/2 to VP Pub Info</t>
  </si>
  <si>
    <t>Changed name from meals</t>
  </si>
  <si>
    <t>None anticipated in 2021</t>
  </si>
  <si>
    <t>Taken from deleted LI 5185</t>
  </si>
  <si>
    <t>New Francine &amp; Log Me In $1900</t>
  </si>
  <si>
    <t>Ed &amp; training by Programs Coord</t>
  </si>
  <si>
    <t>Reorder new line items later</t>
  </si>
  <si>
    <t>Info &amp; training sessions re exam by AICP Ex Coord</t>
  </si>
  <si>
    <t>Add funding for AICP exam scholarship for applic or study prep</t>
  </si>
  <si>
    <t>Awards to recognize new FAICP and AICP inductees</t>
  </si>
  <si>
    <t xml:space="preserve">     (7) 5417 Young &amp; Emerging Planners Coord &amp; Ed</t>
  </si>
  <si>
    <t>Replaces LI 6315 for YEP Coord plus funding for education</t>
  </si>
  <si>
    <t>Sum of items 5515-5525</t>
  </si>
  <si>
    <t>Moved to VP Admin, Awards Contractor Pending cont rev</t>
  </si>
  <si>
    <t>Used previously for Survey Monkey</t>
  </si>
  <si>
    <t xml:space="preserve">Based on anticipated costs </t>
  </si>
  <si>
    <t>Taken from LI 5530</t>
  </si>
  <si>
    <t>One time transfer from 2019 conf profits</t>
  </si>
  <si>
    <t>Estimated by accountant for 2020 taxes</t>
  </si>
  <si>
    <t>To be moved to conference accounts</t>
  </si>
  <si>
    <t>Subject to change - based on normal conf profit formula</t>
  </si>
  <si>
    <t xml:space="preserve">Not used - </t>
  </si>
  <si>
    <t>Not used - moved to programs/membership</t>
  </si>
  <si>
    <t>One time in 2020 based on grant from National</t>
  </si>
  <si>
    <t>NOW LI 5417</t>
  </si>
  <si>
    <t>New LI taken from deleted LI 5185</t>
  </si>
  <si>
    <t>On hold for 2021</t>
  </si>
  <si>
    <t>Ben's contract and other membership programs paid out of conf profits 2020 LI 4125-  TBD</t>
  </si>
  <si>
    <t>Not antipated in 2021</t>
  </si>
  <si>
    <t>Online subscription at $35/Mo.</t>
  </si>
  <si>
    <t>6100 Comm &amp; Board Rep</t>
  </si>
  <si>
    <t xml:space="preserve">       6315 Emerging Planners</t>
  </si>
  <si>
    <t xml:space="preserve">      6307 Membership Management Contractor</t>
  </si>
  <si>
    <t>Increase-reflects full yr of charging/	Adding $9K in income to webcast/workshop income</t>
  </si>
  <si>
    <t>Modification to item description see LI5185</t>
  </si>
  <si>
    <t>NHE Board services tasks</t>
  </si>
  <si>
    <t>P&amp;L Update 11 2020</t>
  </si>
  <si>
    <t>For CPAT</t>
  </si>
  <si>
    <t>BLUE INDICATES CHANGES FROM BD MEETING ACTION AND FINAL CONF PROFIT NUMBERS</t>
  </si>
  <si>
    <r>
      <t xml:space="preserve">LI 5140-5170 &amp; 5190 now here  </t>
    </r>
    <r>
      <rPr>
        <sz val="11"/>
        <color rgb="FF0070C0"/>
        <rFont val="Calibri (Body)"/>
      </rPr>
      <t>$1000 ADDED FOR G-SUITE</t>
    </r>
  </si>
  <si>
    <t>At VP's suggestion</t>
  </si>
  <si>
    <t>5545 Should be maintained to begin Website Redesign contractor search</t>
  </si>
  <si>
    <t xml:space="preserve">FINAL DRAFT 2021 BUDGET </t>
  </si>
  <si>
    <t xml:space="preserve">      4205 Extra Award Income</t>
  </si>
  <si>
    <t xml:space="preserve">     (4) 5420 AICP Exam Training/Preparation</t>
  </si>
  <si>
    <t xml:space="preserve">     (6) 5422 FAICP and AICP Honors </t>
  </si>
  <si>
    <t xml:space="preserve">      5516 Newsletter</t>
  </si>
  <si>
    <t xml:space="preserve">      5515 News Distributions - ATEGO combine to LI5516</t>
  </si>
  <si>
    <t xml:space="preserve">      5520 News &amp; Design - Gran Designs combine to LI5516</t>
  </si>
  <si>
    <t xml:space="preserve">      5521 News Production - Proofreader combine to LI5516</t>
  </si>
  <si>
    <t xml:space="preserve">      5525 News Management - NHE combine to LI5516</t>
  </si>
  <si>
    <t xml:space="preserve">      5668 Travel/National Conferences/Staff</t>
  </si>
  <si>
    <t>Sunday, Dec 13, 2020 11:41:03 AM GMT-8 - Cash Basis</t>
  </si>
  <si>
    <t xml:space="preserve">      6305 VP Marketing &amp; Membership</t>
  </si>
  <si>
    <t xml:space="preserve">      6205 VP Conference Expense</t>
  </si>
  <si>
    <t xml:space="preserve">   6100 Commission &amp; Board Rep</t>
  </si>
  <si>
    <t xml:space="preserve">      5520 Website &amp; Social Media</t>
  </si>
  <si>
    <t xml:space="preserve">      5422 FAICP and AICP Honors</t>
  </si>
  <si>
    <t xml:space="preserve">      5420 AICP Exam Training/Preparation</t>
  </si>
  <si>
    <t xml:space="preserve">      5417 Young &amp; Emerging Planners Coord &amp; Ed</t>
  </si>
  <si>
    <t xml:space="preserve">      5415 Statewide Webinars/Workshops</t>
  </si>
  <si>
    <t xml:space="preserve">      5410 CM Maintenance and Distant Educator</t>
  </si>
  <si>
    <t xml:space="preserve">      5405 AICP Exam Chapter Scholar</t>
  </si>
  <si>
    <t xml:space="preserve">      5402 Website Online Management (Francine)</t>
  </si>
  <si>
    <t xml:space="preserve">      5320 National Legislative Rep.</t>
  </si>
  <si>
    <t xml:space="preserve">      5230 Student Representative</t>
  </si>
  <si>
    <t xml:space="preserve">      5205 President Expenses</t>
  </si>
  <si>
    <t xml:space="preserve">      4126 Conference Profit - 2020 Budgeted for Programs</t>
  </si>
  <si>
    <t xml:space="preserve">      4125 Conference Profit Current 2021</t>
  </si>
  <si>
    <t>January - December 2021</t>
  </si>
  <si>
    <t>Budget Overview: DRAFT Chapter 2021</t>
  </si>
  <si>
    <t>Have not renumbered yet</t>
  </si>
  <si>
    <t>$98,503 final 2020 conf profits minus $40,000 for cash flow in checking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</si>
</sst>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#,##0.00\ _€"/>
    <numFmt numFmtId="165" formatCode="&quot;$&quot;* #,##0.00\ _€"/>
  </numFmts>
  <fonts count="50" x14ac:knownFonts="1">
    <font>
      <sz val="11"/>
      <color indexed="8"/>
      <name val="Calibri"/>
      <family val="2"/>
      <scheme val="minor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rgb="FF0070C0"/>
      <name val="Arial"/>
      <family val="2"/>
    </font>
    <font>
      <b/>
      <i/>
      <sz val="8"/>
      <color rgb="FF0070C0"/>
      <name val="Arial"/>
      <family val="2"/>
    </font>
    <font>
      <b/>
      <sz val="11"/>
      <color rgb="FF0070C0"/>
      <name val="Calibri"/>
      <family val="2"/>
      <scheme val="minor"/>
    </font>
    <font>
      <b/>
      <sz val="8"/>
      <color rgb="FFFF0000"/>
      <name val="Arial"/>
      <family val="2"/>
    </font>
    <font>
      <b/>
      <sz val="11"/>
      <color rgb="FF0070C0"/>
      <name val="Calibri (Body)"/>
    </font>
    <font>
      <b/>
      <i/>
      <sz val="11"/>
      <color rgb="FF0070C0"/>
      <name val="Calibri"/>
      <family val="2"/>
      <scheme val="minor"/>
    </font>
    <font>
      <b/>
      <i/>
      <sz val="11"/>
      <color rgb="FF0070C0"/>
      <name val="Calibri (Body)"/>
    </font>
    <font>
      <sz val="11"/>
      <color rgb="FFFF0000"/>
      <name val="Calibri"/>
      <family val="2"/>
      <scheme val="minor"/>
    </font>
    <font>
      <b/>
      <sz val="14"/>
      <color rgb="FF0070C0"/>
      <name val="Arial"/>
      <family val="2"/>
    </font>
    <font>
      <b/>
      <sz val="8"/>
      <color rgb="FF00B050"/>
      <name val="Arial"/>
      <family val="2"/>
    </font>
    <font>
      <b/>
      <sz val="8"/>
      <color theme="1"/>
      <name val="Arial"/>
      <family val="2"/>
    </font>
    <font>
      <b/>
      <strike/>
      <sz val="8"/>
      <color indexed="8"/>
      <name val="Arial"/>
      <family val="2"/>
    </font>
    <font>
      <strike/>
      <sz val="8"/>
      <color indexed="8"/>
      <name val="Arial"/>
      <family val="2"/>
    </font>
    <font>
      <sz val="8"/>
      <color rgb="FFFF0000"/>
      <name val="Arial"/>
      <family val="2"/>
    </font>
    <font>
      <sz val="11"/>
      <color rgb="FFFF0000"/>
      <name val="Calibri (Body)"/>
    </font>
    <font>
      <b/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8"/>
      <name val="Arial"/>
      <family val="2"/>
    </font>
    <font>
      <sz val="8"/>
      <color rgb="FF00B050"/>
      <name val="Arial"/>
      <family val="2"/>
    </font>
    <font>
      <b/>
      <sz val="8"/>
      <color theme="7"/>
      <name val="Arial"/>
      <family val="2"/>
    </font>
    <font>
      <b/>
      <sz val="8"/>
      <color theme="4" tint="0.39997558519241921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i/>
      <sz val="11"/>
      <color rgb="FFFF0000"/>
      <name val="Calibri (Body)"/>
    </font>
    <font>
      <b/>
      <i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70C0"/>
      <name val="Arial"/>
      <family val="2"/>
    </font>
    <font>
      <sz val="11"/>
      <color rgb="FF0070C0"/>
      <name val="Calibri (Body)"/>
    </font>
    <font>
      <b/>
      <sz val="20"/>
      <color indexed="8"/>
      <name val="Arial"/>
      <family val="2"/>
    </font>
    <font>
      <sz val="14"/>
      <color indexed="8"/>
      <name val="Calibri"/>
      <family val="2"/>
      <scheme val="minor"/>
    </font>
    <font>
      <b/>
      <sz val="20"/>
      <color rgb="FF00B050"/>
      <name val="Arial"/>
      <family val="2"/>
    </font>
    <font>
      <sz val="20"/>
      <color rgb="FF00B050"/>
      <name val="Calibri"/>
      <family val="2"/>
      <scheme val="minor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14"/>
      <color theme="4" tint="-0.249977111117893"/>
      <name val="Arial"/>
      <family val="2"/>
    </font>
    <font>
      <sz val="11"/>
      <color theme="4" tint="-0.249977111117893"/>
      <name val="Calibri"/>
      <family val="2"/>
      <scheme val="minor"/>
    </font>
    <font>
      <sz val="8"/>
      <color indexed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44" fontId="22" fillId="0" borderId="0" applyFont="0" applyFill="0" applyBorder="0" applyAlignment="0" applyProtection="0"/>
  </cellStyleXfs>
  <cellXfs count="120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64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right" wrapText="1"/>
    </xf>
    <xf numFmtId="165" fontId="2" fillId="0" borderId="2" xfId="0" applyNumberFormat="1" applyFont="1" applyBorder="1" applyAlignment="1">
      <alignment horizontal="right" wrapText="1"/>
    </xf>
    <xf numFmtId="165" fontId="2" fillId="0" borderId="3" xfId="0" applyNumberFormat="1" applyFont="1" applyBorder="1" applyAlignment="1">
      <alignment horizontal="right" wrapText="1"/>
    </xf>
    <xf numFmtId="0" fontId="0" fillId="2" borderId="0" xfId="0" applyFill="1"/>
    <xf numFmtId="0" fontId="0" fillId="0" borderId="0" xfId="0"/>
    <xf numFmtId="0" fontId="0" fillId="3" borderId="0" xfId="0" applyFill="1"/>
    <xf numFmtId="0" fontId="0" fillId="0" borderId="0" xfId="0"/>
    <xf numFmtId="0" fontId="6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8" fillId="0" borderId="0" xfId="0" applyFont="1"/>
    <xf numFmtId="0" fontId="9" fillId="0" borderId="0" xfId="0" applyFont="1" applyAlignment="1">
      <alignment horizontal="left" wrapText="1"/>
    </xf>
    <xf numFmtId="0" fontId="8" fillId="2" borderId="0" xfId="0" applyFont="1" applyFill="1"/>
    <xf numFmtId="0" fontId="10" fillId="0" borderId="0" xfId="0" applyFont="1"/>
    <xf numFmtId="0" fontId="11" fillId="0" borderId="0" xfId="0" applyFont="1"/>
    <xf numFmtId="0" fontId="12" fillId="0" borderId="0" xfId="0" applyFont="1"/>
    <xf numFmtId="165" fontId="2" fillId="0" borderId="0" xfId="0" applyNumberFormat="1" applyFont="1" applyBorder="1" applyAlignment="1">
      <alignment horizontal="right" wrapText="1"/>
    </xf>
    <xf numFmtId="0" fontId="13" fillId="0" borderId="0" xfId="0" applyFont="1"/>
    <xf numFmtId="0" fontId="15" fillId="0" borderId="0" xfId="0" applyFont="1" applyAlignment="1">
      <alignment horizontal="left" wrapText="1"/>
    </xf>
    <xf numFmtId="0" fontId="0" fillId="0" borderId="1" xfId="0" applyBorder="1" applyAlignment="1">
      <alignment wrapText="1"/>
    </xf>
    <xf numFmtId="0" fontId="16" fillId="4" borderId="0" xfId="0" applyFont="1" applyFill="1" applyAlignment="1">
      <alignment horizontal="left" wrapText="1"/>
    </xf>
    <xf numFmtId="0" fontId="17" fillId="4" borderId="0" xfId="0" applyFont="1" applyFill="1" applyAlignment="1">
      <alignment horizontal="left" wrapText="1"/>
    </xf>
    <xf numFmtId="0" fontId="2" fillId="4" borderId="0" xfId="0" applyFont="1" applyFill="1" applyAlignment="1">
      <alignment horizontal="left" wrapText="1"/>
    </xf>
    <xf numFmtId="164" fontId="3" fillId="4" borderId="0" xfId="0" applyNumberFormat="1" applyFont="1" applyFill="1" applyAlignment="1">
      <alignment horizontal="right" wrapText="1"/>
    </xf>
    <xf numFmtId="164" fontId="18" fillId="4" borderId="0" xfId="0" applyNumberFormat="1" applyFont="1" applyFill="1" applyAlignment="1">
      <alignment horizontal="right" wrapText="1"/>
    </xf>
    <xf numFmtId="164" fontId="18" fillId="4" borderId="0" xfId="0" applyNumberFormat="1" applyFont="1" applyFill="1" applyAlignment="1">
      <alignment wrapText="1"/>
    </xf>
    <xf numFmtId="0" fontId="0" fillId="4" borderId="0" xfId="0" applyFill="1"/>
    <xf numFmtId="164" fontId="3" fillId="4" borderId="0" xfId="0" applyNumberFormat="1" applyFont="1" applyFill="1" applyAlignment="1">
      <alignment wrapText="1"/>
    </xf>
    <xf numFmtId="0" fontId="0" fillId="0" borderId="0" xfId="0"/>
    <xf numFmtId="0" fontId="0" fillId="0" borderId="0" xfId="0"/>
    <xf numFmtId="164" fontId="19" fillId="0" borderId="0" xfId="0" applyNumberFormat="1" applyFont="1" applyAlignment="1">
      <alignment horizontal="right" wrapText="1"/>
    </xf>
    <xf numFmtId="0" fontId="20" fillId="0" borderId="0" xfId="0" applyFont="1"/>
    <xf numFmtId="0" fontId="21" fillId="0" borderId="0" xfId="0" applyFont="1"/>
    <xf numFmtId="164" fontId="19" fillId="0" borderId="0" xfId="0" applyNumberFormat="1" applyFont="1" applyAlignment="1">
      <alignment wrapText="1"/>
    </xf>
    <xf numFmtId="0" fontId="0" fillId="0" borderId="0" xfId="0"/>
    <xf numFmtId="0" fontId="1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2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right"/>
    </xf>
    <xf numFmtId="10" fontId="2" fillId="0" borderId="3" xfId="0" applyNumberFormat="1" applyFont="1" applyBorder="1" applyAlignment="1">
      <alignment horizontal="right" wrapText="1"/>
    </xf>
    <xf numFmtId="44" fontId="2" fillId="0" borderId="0" xfId="1" applyFont="1" applyAlignment="1">
      <alignment horizontal="right"/>
    </xf>
    <xf numFmtId="10" fontId="3" fillId="0" borderId="0" xfId="0" applyNumberFormat="1" applyFont="1" applyAlignment="1">
      <alignment horizontal="right" wrapText="1"/>
    </xf>
    <xf numFmtId="44" fontId="3" fillId="0" borderId="0" xfId="1" applyFont="1" applyAlignment="1">
      <alignment horizontal="right"/>
    </xf>
    <xf numFmtId="44" fontId="3" fillId="0" borderId="1" xfId="1" applyFont="1" applyBorder="1" applyAlignment="1">
      <alignment horizontal="right"/>
    </xf>
    <xf numFmtId="0" fontId="23" fillId="0" borderId="0" xfId="0" applyFont="1" applyAlignment="1">
      <alignment horizontal="left" wrapText="1"/>
    </xf>
    <xf numFmtId="44" fontId="19" fillId="0" borderId="1" xfId="1" applyFont="1" applyBorder="1" applyAlignment="1">
      <alignment horizontal="right"/>
    </xf>
    <xf numFmtId="44" fontId="19" fillId="0" borderId="0" xfId="1" applyFont="1" applyAlignment="1">
      <alignment horizontal="right"/>
    </xf>
    <xf numFmtId="44" fontId="24" fillId="0" borderId="0" xfId="1" applyFont="1" applyAlignment="1">
      <alignment horizontal="right"/>
    </xf>
    <xf numFmtId="0" fontId="25" fillId="0" borderId="0" xfId="0" applyFont="1" applyAlignment="1">
      <alignment horizontal="left" wrapText="1"/>
    </xf>
    <xf numFmtId="0" fontId="0" fillId="5" borderId="0" xfId="0" applyFill="1"/>
    <xf numFmtId="44" fontId="3" fillId="5" borderId="0" xfId="1" applyFont="1" applyFill="1" applyAlignment="1">
      <alignment horizontal="right"/>
    </xf>
    <xf numFmtId="44" fontId="19" fillId="5" borderId="1" xfId="1" applyFont="1" applyFill="1" applyBorder="1" applyAlignment="1">
      <alignment horizontal="right"/>
    </xf>
    <xf numFmtId="44" fontId="2" fillId="5" borderId="0" xfId="1" applyFont="1" applyFill="1" applyAlignment="1">
      <alignment horizontal="right"/>
    </xf>
    <xf numFmtId="44" fontId="19" fillId="5" borderId="0" xfId="1" applyFont="1" applyFill="1" applyAlignment="1">
      <alignment horizontal="right"/>
    </xf>
    <xf numFmtId="44" fontId="3" fillId="5" borderId="1" xfId="1" applyFont="1" applyFill="1" applyBorder="1" applyAlignment="1">
      <alignment horizontal="right"/>
    </xf>
    <xf numFmtId="44" fontId="27" fillId="5" borderId="0" xfId="1" applyFont="1" applyFill="1" applyAlignment="1">
      <alignment horizontal="right"/>
    </xf>
    <xf numFmtId="44" fontId="27" fillId="5" borderId="1" xfId="1" applyFont="1" applyFill="1" applyBorder="1" applyAlignment="1">
      <alignment horizontal="right"/>
    </xf>
    <xf numFmtId="44" fontId="2" fillId="5" borderId="4" xfId="1" applyFont="1" applyFill="1" applyBorder="1" applyAlignment="1">
      <alignment horizontal="right"/>
    </xf>
    <xf numFmtId="44" fontId="24" fillId="0" borderId="1" xfId="1" applyFont="1" applyBorder="1" applyAlignment="1">
      <alignment horizontal="right"/>
    </xf>
    <xf numFmtId="44" fontId="2" fillId="0" borderId="1" xfId="1" applyFont="1" applyBorder="1" applyAlignment="1">
      <alignment horizontal="right"/>
    </xf>
    <xf numFmtId="0" fontId="0" fillId="0" borderId="0" xfId="0"/>
    <xf numFmtId="0" fontId="0" fillId="0" borderId="0" xfId="0"/>
    <xf numFmtId="0" fontId="28" fillId="0" borderId="0" xfId="0" applyFont="1" applyAlignment="1">
      <alignment horizontal="right"/>
    </xf>
    <xf numFmtId="0" fontId="29" fillId="0" borderId="0" xfId="0" applyFont="1" applyAlignment="1">
      <alignment horizontal="left" wrapText="1"/>
    </xf>
    <xf numFmtId="0" fontId="0" fillId="0" borderId="0" xfId="0" applyFill="1"/>
    <xf numFmtId="0" fontId="30" fillId="0" borderId="0" xfId="0" applyFont="1" applyAlignment="1">
      <alignment horizontal="left" wrapText="1"/>
    </xf>
    <xf numFmtId="0" fontId="31" fillId="0" borderId="0" xfId="0" applyFont="1"/>
    <xf numFmtId="6" fontId="0" fillId="0" borderId="0" xfId="0" applyNumberFormat="1"/>
    <xf numFmtId="0" fontId="32" fillId="0" borderId="0" xfId="0" applyFont="1"/>
    <xf numFmtId="0" fontId="33" fillId="0" borderId="0" xfId="0" applyFont="1"/>
    <xf numFmtId="0" fontId="0" fillId="6" borderId="0" xfId="0" applyFill="1"/>
    <xf numFmtId="0" fontId="34" fillId="0" borderId="0" xfId="0" applyFont="1"/>
    <xf numFmtId="10" fontId="2" fillId="0" borderId="0" xfId="0" applyNumberFormat="1" applyFont="1" applyBorder="1" applyAlignment="1">
      <alignment horizontal="right" wrapText="1"/>
    </xf>
    <xf numFmtId="44" fontId="15" fillId="0" borderId="0" xfId="1" applyFont="1" applyAlignment="1">
      <alignment horizontal="right"/>
    </xf>
    <xf numFmtId="0" fontId="35" fillId="0" borderId="0" xfId="0" applyFont="1"/>
    <xf numFmtId="44" fontId="3" fillId="0" borderId="0" xfId="1" applyFont="1" applyFill="1" applyAlignment="1">
      <alignment horizontal="right"/>
    </xf>
    <xf numFmtId="0" fontId="22" fillId="0" borderId="0" xfId="0" applyFont="1" applyAlignment="1">
      <alignment horizontal="left" vertical="center" indent="1"/>
    </xf>
    <xf numFmtId="44" fontId="23" fillId="5" borderId="0" xfId="1" applyFont="1" applyFill="1" applyAlignment="1">
      <alignment horizontal="right"/>
    </xf>
    <xf numFmtId="44" fontId="24" fillId="0" borderId="0" xfId="1" applyFont="1" applyFill="1" applyAlignment="1">
      <alignment horizontal="right"/>
    </xf>
    <xf numFmtId="44" fontId="19" fillId="0" borderId="0" xfId="1" applyFont="1" applyFill="1" applyAlignment="1">
      <alignment horizontal="right"/>
    </xf>
    <xf numFmtId="44" fontId="3" fillId="0" borderId="1" xfId="1" applyFont="1" applyFill="1" applyBorder="1" applyAlignment="1">
      <alignment horizontal="right"/>
    </xf>
    <xf numFmtId="0" fontId="0" fillId="0" borderId="0" xfId="0"/>
    <xf numFmtId="0" fontId="0" fillId="0" borderId="0" xfId="0" applyAlignment="1">
      <alignment wrapText="1"/>
    </xf>
    <xf numFmtId="44" fontId="36" fillId="5" borderId="1" xfId="1" applyFont="1" applyFill="1" applyBorder="1" applyAlignment="1">
      <alignment horizontal="right"/>
    </xf>
    <xf numFmtId="0" fontId="37" fillId="0" borderId="0" xfId="0" applyFont="1"/>
    <xf numFmtId="44" fontId="6" fillId="5" borderId="0" xfId="1" applyFont="1" applyFill="1" applyAlignment="1">
      <alignment horizontal="right"/>
    </xf>
    <xf numFmtId="6" fontId="6" fillId="5" borderId="0" xfId="1" applyNumberFormat="1" applyFont="1" applyFill="1" applyAlignment="1">
      <alignment horizontal="right"/>
    </xf>
    <xf numFmtId="0" fontId="38" fillId="5" borderId="1" xfId="0" applyFont="1" applyFill="1" applyBorder="1" applyAlignment="1">
      <alignment horizontal="center" wrapText="1"/>
    </xf>
    <xf numFmtId="0" fontId="39" fillId="2" borderId="0" xfId="0" applyFont="1" applyFill="1"/>
    <xf numFmtId="0" fontId="6" fillId="7" borderId="0" xfId="0" applyFont="1" applyFill="1" applyAlignment="1">
      <alignment horizontal="left" wrapText="1"/>
    </xf>
    <xf numFmtId="44" fontId="19" fillId="7" borderId="1" xfId="1" applyFont="1" applyFill="1" applyBorder="1" applyAlignment="1">
      <alignment horizontal="right"/>
    </xf>
    <xf numFmtId="0" fontId="9" fillId="7" borderId="0" xfId="0" applyFont="1" applyFill="1" applyAlignment="1">
      <alignment horizontal="left" wrapText="1"/>
    </xf>
    <xf numFmtId="0" fontId="2" fillId="7" borderId="0" xfId="0" applyFont="1" applyFill="1" applyAlignment="1">
      <alignment horizontal="left" wrapText="1"/>
    </xf>
    <xf numFmtId="0" fontId="15" fillId="7" borderId="0" xfId="0" applyFont="1" applyFill="1" applyAlignment="1">
      <alignment horizontal="left" wrapText="1"/>
    </xf>
    <xf numFmtId="0" fontId="26" fillId="7" borderId="0" xfId="0" applyFont="1" applyFill="1" applyAlignment="1">
      <alignment horizontal="left" wrapText="1"/>
    </xf>
    <xf numFmtId="164" fontId="42" fillId="0" borderId="0" xfId="0" applyNumberFormat="1" applyFont="1" applyAlignment="1">
      <alignment wrapText="1"/>
    </xf>
    <xf numFmtId="0" fontId="43" fillId="0" borderId="0" xfId="0" applyFont="1" applyAlignment="1">
      <alignment horizontal="left" wrapText="1"/>
    </xf>
    <xf numFmtId="165" fontId="43" fillId="0" borderId="3" xfId="0" applyNumberFormat="1" applyFont="1" applyBorder="1" applyAlignment="1">
      <alignment horizontal="right" wrapText="1"/>
    </xf>
    <xf numFmtId="164" fontId="42" fillId="0" borderId="0" xfId="0" applyNumberFormat="1" applyFont="1" applyAlignment="1">
      <alignment horizontal="right" wrapText="1"/>
    </xf>
    <xf numFmtId="0" fontId="44" fillId="0" borderId="1" xfId="0" applyFont="1" applyBorder="1" applyAlignment="1">
      <alignment horizontal="center" wrapText="1"/>
    </xf>
    <xf numFmtId="0" fontId="49" fillId="8" borderId="0" xfId="0" applyFont="1" applyFill="1"/>
    <xf numFmtId="0" fontId="3" fillId="0" borderId="0" xfId="0" applyFont="1" applyAlignment="1">
      <alignment horizontal="center"/>
    </xf>
    <xf numFmtId="0" fontId="0" fillId="0" borderId="0" xfId="0"/>
    <xf numFmtId="0" fontId="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40" fillId="0" borderId="0" xfId="0" applyFont="1" applyAlignment="1">
      <alignment horizontal="center"/>
    </xf>
    <xf numFmtId="0" fontId="41" fillId="0" borderId="0" xfId="0" applyFont="1"/>
    <xf numFmtId="0" fontId="42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48" fillId="0" borderId="0" xfId="0" applyFont="1"/>
    <xf numFmtId="0" fontId="45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47"/>
  <sheetViews>
    <sheetView zoomScaleNormal="100" workbookViewId="0">
      <pane xSplit="3" topLeftCell="D1" activePane="topRight" state="frozen"/>
      <selection activeCell="A4" sqref="A4"/>
      <selection pane="topRight" activeCell="B6" sqref="B6"/>
    </sheetView>
  </sheetViews>
  <sheetFormatPr baseColWidth="10" defaultColWidth="8.83203125" defaultRowHeight="15" x14ac:dyDescent="0.2"/>
  <cols>
    <col min="1" max="1" width="5.33203125" style="34" customWidth="1"/>
    <col min="2" max="2" width="52.33203125" customWidth="1"/>
    <col min="3" max="3" width="12" customWidth="1"/>
    <col min="5" max="5" width="10.33203125" style="8" customWidth="1"/>
  </cols>
  <sheetData>
    <row r="1" spans="2:20" ht="18" x14ac:dyDescent="0.2">
      <c r="B1" s="108" t="s">
        <v>98</v>
      </c>
      <c r="C1" s="107"/>
    </row>
    <row r="2" spans="2:20" ht="18" x14ac:dyDescent="0.2">
      <c r="B2" s="109" t="s">
        <v>236</v>
      </c>
      <c r="C2" s="107"/>
    </row>
    <row r="3" spans="2:20" x14ac:dyDescent="0.2">
      <c r="B3" s="110" t="s">
        <v>99</v>
      </c>
      <c r="C3" s="107"/>
    </row>
    <row r="5" spans="2:20" x14ac:dyDescent="0.2">
      <c r="B5" s="1"/>
      <c r="C5" s="24"/>
    </row>
    <row r="6" spans="2:20" x14ac:dyDescent="0.2">
      <c r="B6" s="1"/>
      <c r="C6" s="2" t="s">
        <v>0</v>
      </c>
    </row>
    <row r="7" spans="2:20" x14ac:dyDescent="0.2">
      <c r="B7" s="23" t="s">
        <v>1</v>
      </c>
      <c r="C7" s="4"/>
    </row>
    <row r="8" spans="2:20" x14ac:dyDescent="0.2">
      <c r="B8" s="16" t="s">
        <v>2</v>
      </c>
      <c r="C8" s="4"/>
    </row>
    <row r="9" spans="2:20" x14ac:dyDescent="0.2">
      <c r="B9" s="3" t="s">
        <v>3</v>
      </c>
      <c r="C9" s="35">
        <v>352000</v>
      </c>
      <c r="D9" s="10" t="s">
        <v>164</v>
      </c>
    </row>
    <row r="10" spans="2:20" x14ac:dyDescent="0.2">
      <c r="B10" s="3" t="s">
        <v>4</v>
      </c>
      <c r="C10" s="35">
        <v>20750</v>
      </c>
      <c r="D10" t="s">
        <v>106</v>
      </c>
    </row>
    <row r="11" spans="2:20" x14ac:dyDescent="0.2">
      <c r="B11" s="12" t="s">
        <v>172</v>
      </c>
      <c r="C11" s="5">
        <f>120000</f>
        <v>120000</v>
      </c>
      <c r="D11" t="s">
        <v>107</v>
      </c>
    </row>
    <row r="12" spans="2:20" x14ac:dyDescent="0.2">
      <c r="B12" s="12" t="s">
        <v>173</v>
      </c>
      <c r="C12" s="35">
        <v>35000</v>
      </c>
      <c r="D12" t="s">
        <v>108</v>
      </c>
      <c r="T12" t="s">
        <v>112</v>
      </c>
    </row>
    <row r="13" spans="2:20" x14ac:dyDescent="0.2">
      <c r="B13" s="3" t="s">
        <v>5</v>
      </c>
      <c r="C13" s="35">
        <v>0</v>
      </c>
      <c r="D13" t="s">
        <v>110</v>
      </c>
      <c r="H13" t="s">
        <v>111</v>
      </c>
    </row>
    <row r="14" spans="2:20" x14ac:dyDescent="0.2">
      <c r="B14" s="14" t="s">
        <v>6</v>
      </c>
      <c r="C14" s="35">
        <v>0</v>
      </c>
      <c r="D14" t="s">
        <v>109</v>
      </c>
    </row>
    <row r="15" spans="2:20" x14ac:dyDescent="0.2">
      <c r="B15" s="3" t="s">
        <v>7</v>
      </c>
      <c r="C15" s="6">
        <f>SUM(C9:C14)</f>
        <v>527750</v>
      </c>
    </row>
    <row r="16" spans="2:20" x14ac:dyDescent="0.2">
      <c r="B16" s="16" t="s">
        <v>8</v>
      </c>
      <c r="C16" s="4"/>
      <c r="D16" t="s">
        <v>119</v>
      </c>
    </row>
    <row r="17" spans="1:11" x14ac:dyDescent="0.2">
      <c r="B17" s="3" t="s">
        <v>9</v>
      </c>
      <c r="C17" s="35">
        <v>800</v>
      </c>
      <c r="D17" t="s">
        <v>105</v>
      </c>
      <c r="F17" s="10" t="s">
        <v>163</v>
      </c>
    </row>
    <row r="18" spans="1:11" s="9" customFormat="1" x14ac:dyDescent="0.2">
      <c r="A18" s="34"/>
      <c r="B18" s="12" t="s">
        <v>174</v>
      </c>
      <c r="C18" s="35">
        <v>3500</v>
      </c>
      <c r="D18" s="15" t="s">
        <v>175</v>
      </c>
      <c r="E18" s="8"/>
      <c r="F18" s="10"/>
    </row>
    <row r="19" spans="1:11" x14ac:dyDescent="0.2">
      <c r="B19" s="3" t="s">
        <v>10</v>
      </c>
      <c r="C19" s="6">
        <f>SUM(C17:C18)</f>
        <v>4300</v>
      </c>
    </row>
    <row r="20" spans="1:11" x14ac:dyDescent="0.2">
      <c r="B20" s="16" t="s">
        <v>11</v>
      </c>
      <c r="C20" s="4"/>
    </row>
    <row r="21" spans="1:11" x14ac:dyDescent="0.2">
      <c r="B21" s="16" t="s">
        <v>237</v>
      </c>
      <c r="C21" s="35">
        <v>0</v>
      </c>
      <c r="D21" t="s">
        <v>120</v>
      </c>
      <c r="I21" s="10" t="s">
        <v>165</v>
      </c>
    </row>
    <row r="22" spans="1:11" x14ac:dyDescent="0.2">
      <c r="B22" s="3" t="s">
        <v>12</v>
      </c>
      <c r="C22" s="35">
        <v>10000</v>
      </c>
      <c r="D22" t="s">
        <v>121</v>
      </c>
    </row>
    <row r="23" spans="1:11" x14ac:dyDescent="0.2">
      <c r="B23" s="3" t="s">
        <v>13</v>
      </c>
      <c r="C23" s="6">
        <f>SUM(C21:C22)</f>
        <v>10000</v>
      </c>
    </row>
    <row r="24" spans="1:11" x14ac:dyDescent="0.2">
      <c r="B24" s="16" t="s">
        <v>14</v>
      </c>
      <c r="C24" s="4"/>
    </row>
    <row r="25" spans="1:11" x14ac:dyDescent="0.2">
      <c r="B25" s="13" t="s">
        <v>15</v>
      </c>
      <c r="C25" s="5">
        <v>0</v>
      </c>
      <c r="D25" t="s">
        <v>122</v>
      </c>
      <c r="H25" t="s">
        <v>123</v>
      </c>
    </row>
    <row r="26" spans="1:11" x14ac:dyDescent="0.2">
      <c r="B26" s="12" t="s">
        <v>176</v>
      </c>
      <c r="C26" s="35">
        <v>37000</v>
      </c>
      <c r="D26" t="s">
        <v>124</v>
      </c>
      <c r="K26" t="s">
        <v>125</v>
      </c>
    </row>
    <row r="27" spans="1:11" x14ac:dyDescent="0.2">
      <c r="B27" s="3" t="s">
        <v>16</v>
      </c>
      <c r="C27" s="6">
        <f>SUM(C25:C26)</f>
        <v>37000</v>
      </c>
    </row>
    <row r="28" spans="1:11" x14ac:dyDescent="0.2">
      <c r="B28" s="16" t="s">
        <v>177</v>
      </c>
      <c r="C28" s="38">
        <v>3000</v>
      </c>
      <c r="D28" t="s">
        <v>126</v>
      </c>
    </row>
    <row r="29" spans="1:11" x14ac:dyDescent="0.2">
      <c r="B29" s="13" t="s">
        <v>17</v>
      </c>
      <c r="C29" s="4"/>
      <c r="D29" t="s">
        <v>127</v>
      </c>
    </row>
    <row r="30" spans="1:11" x14ac:dyDescent="0.2">
      <c r="B30" s="3" t="s">
        <v>18</v>
      </c>
      <c r="C30" s="6">
        <f>SUM(C15+C19+C23+C27+C28)</f>
        <v>582050</v>
      </c>
    </row>
    <row r="31" spans="1:11" x14ac:dyDescent="0.2">
      <c r="B31" s="3" t="s">
        <v>19</v>
      </c>
      <c r="C31" s="6"/>
    </row>
    <row r="32" spans="1:11" x14ac:dyDescent="0.2">
      <c r="B32" s="23" t="s">
        <v>20</v>
      </c>
      <c r="C32" s="4"/>
    </row>
    <row r="33" spans="2:19" x14ac:dyDescent="0.2">
      <c r="B33" s="16" t="s">
        <v>21</v>
      </c>
      <c r="C33" s="4"/>
    </row>
    <row r="34" spans="2:19" x14ac:dyDescent="0.2">
      <c r="B34" s="3" t="s">
        <v>22</v>
      </c>
      <c r="C34" s="5">
        <f>66000</f>
        <v>66000</v>
      </c>
      <c r="D34" t="s">
        <v>133</v>
      </c>
    </row>
    <row r="35" spans="2:19" x14ac:dyDescent="0.2">
      <c r="B35" s="3" t="s">
        <v>23</v>
      </c>
      <c r="C35" s="35">
        <v>4000</v>
      </c>
      <c r="D35" t="s">
        <v>128</v>
      </c>
      <c r="R35" t="s">
        <v>178</v>
      </c>
      <c r="S35" s="18" t="s">
        <v>200</v>
      </c>
    </row>
    <row r="36" spans="2:19" x14ac:dyDescent="0.2">
      <c r="B36" s="3" t="s">
        <v>24</v>
      </c>
      <c r="C36" s="35">
        <f>10000</f>
        <v>10000</v>
      </c>
      <c r="D36" s="22" t="s">
        <v>233</v>
      </c>
    </row>
    <row r="37" spans="2:19" x14ac:dyDescent="0.2">
      <c r="B37" s="3" t="s">
        <v>25</v>
      </c>
      <c r="C37" s="35">
        <v>4125</v>
      </c>
      <c r="D37" t="s">
        <v>129</v>
      </c>
    </row>
    <row r="38" spans="2:19" x14ac:dyDescent="0.2">
      <c r="B38" s="3" t="s">
        <v>26</v>
      </c>
      <c r="C38" s="35">
        <v>5000</v>
      </c>
      <c r="D38" s="36" t="s">
        <v>234</v>
      </c>
    </row>
    <row r="39" spans="2:19" x14ac:dyDescent="0.2">
      <c r="B39" s="13" t="s">
        <v>27</v>
      </c>
      <c r="C39" s="35">
        <v>0</v>
      </c>
      <c r="D39" s="15" t="s">
        <v>179</v>
      </c>
      <c r="E39" s="17"/>
      <c r="F39" s="15"/>
    </row>
    <row r="40" spans="2:19" x14ac:dyDescent="0.2">
      <c r="B40" s="13" t="s">
        <v>28</v>
      </c>
      <c r="C40" s="5">
        <v>0</v>
      </c>
      <c r="D40" t="s">
        <v>130</v>
      </c>
    </row>
    <row r="41" spans="2:19" x14ac:dyDescent="0.2">
      <c r="B41" s="13" t="s">
        <v>29</v>
      </c>
      <c r="C41" s="5">
        <v>0</v>
      </c>
      <c r="D41" t="s">
        <v>130</v>
      </c>
    </row>
    <row r="42" spans="2:19" x14ac:dyDescent="0.2">
      <c r="B42" s="13" t="s">
        <v>30</v>
      </c>
      <c r="C42" s="5">
        <v>0</v>
      </c>
      <c r="D42" t="s">
        <v>131</v>
      </c>
    </row>
    <row r="43" spans="2:19" x14ac:dyDescent="0.2">
      <c r="B43" s="13" t="s">
        <v>31</v>
      </c>
      <c r="C43" s="5">
        <v>0</v>
      </c>
      <c r="D43" t="s">
        <v>132</v>
      </c>
      <c r="J43" s="10" t="s">
        <v>166</v>
      </c>
    </row>
    <row r="44" spans="2:19" x14ac:dyDescent="0.2">
      <c r="B44" s="3" t="s">
        <v>32</v>
      </c>
      <c r="C44" s="35">
        <v>4500</v>
      </c>
      <c r="D44" t="s">
        <v>134</v>
      </c>
    </row>
    <row r="45" spans="2:19" x14ac:dyDescent="0.2">
      <c r="B45" s="27" t="s">
        <v>33</v>
      </c>
      <c r="C45" s="28">
        <f>27000-13500</f>
        <v>13500</v>
      </c>
      <c r="D45" s="31" t="s">
        <v>213</v>
      </c>
    </row>
    <row r="46" spans="2:19" x14ac:dyDescent="0.2">
      <c r="B46" s="26" t="s">
        <v>34</v>
      </c>
      <c r="C46" s="29">
        <f>36500</f>
        <v>36500</v>
      </c>
      <c r="D46" s="31" t="s">
        <v>212</v>
      </c>
    </row>
    <row r="47" spans="2:19" x14ac:dyDescent="0.2">
      <c r="B47" s="13" t="s">
        <v>35</v>
      </c>
      <c r="C47" s="5">
        <v>0</v>
      </c>
      <c r="D47" s="10" t="s">
        <v>166</v>
      </c>
    </row>
    <row r="48" spans="2:19" x14ac:dyDescent="0.2">
      <c r="B48" s="3" t="s">
        <v>36</v>
      </c>
      <c r="C48" s="6">
        <f>SUM(C34:C45)</f>
        <v>107125</v>
      </c>
    </row>
    <row r="49" spans="1:14" x14ac:dyDescent="0.2">
      <c r="B49" s="16" t="s">
        <v>37</v>
      </c>
      <c r="C49" s="4"/>
    </row>
    <row r="50" spans="1:14" s="9" customFormat="1" x14ac:dyDescent="0.2">
      <c r="A50" s="34"/>
      <c r="B50" s="12" t="s">
        <v>180</v>
      </c>
      <c r="C50" s="4">
        <v>100</v>
      </c>
      <c r="D50" s="9" t="s">
        <v>135</v>
      </c>
      <c r="E50" s="8"/>
    </row>
    <row r="51" spans="1:14" s="9" customFormat="1" x14ac:dyDescent="0.2">
      <c r="A51" s="34"/>
      <c r="B51" s="12" t="s">
        <v>181</v>
      </c>
      <c r="C51" s="4">
        <v>0</v>
      </c>
      <c r="D51" s="15" t="s">
        <v>184</v>
      </c>
      <c r="E51" s="8"/>
    </row>
    <row r="52" spans="1:14" s="9" customFormat="1" x14ac:dyDescent="0.2">
      <c r="A52" s="34"/>
      <c r="B52" s="12" t="s">
        <v>182</v>
      </c>
      <c r="C52" s="4">
        <v>0</v>
      </c>
      <c r="E52" s="8"/>
    </row>
    <row r="53" spans="1:14" x14ac:dyDescent="0.2">
      <c r="B53" s="3" t="s">
        <v>38</v>
      </c>
      <c r="C53" s="5">
        <f>100</f>
        <v>100</v>
      </c>
      <c r="D53" t="s">
        <v>137</v>
      </c>
    </row>
    <row r="54" spans="1:14" s="9" customFormat="1" x14ac:dyDescent="0.2">
      <c r="A54" s="34"/>
      <c r="B54" s="12" t="s">
        <v>183</v>
      </c>
      <c r="C54" s="5">
        <v>100</v>
      </c>
      <c r="E54" s="8"/>
    </row>
    <row r="55" spans="1:14" x14ac:dyDescent="0.2">
      <c r="B55" s="3" t="s">
        <v>39</v>
      </c>
      <c r="C55" s="6">
        <f>SUM(C50:C54)</f>
        <v>300</v>
      </c>
      <c r="D55" t="s">
        <v>136</v>
      </c>
    </row>
    <row r="56" spans="1:14" x14ac:dyDescent="0.2">
      <c r="B56" s="16" t="s">
        <v>40</v>
      </c>
      <c r="C56" s="4"/>
    </row>
    <row r="57" spans="1:14" x14ac:dyDescent="0.2">
      <c r="B57" s="3" t="s">
        <v>41</v>
      </c>
      <c r="C57" s="5">
        <f>96000</f>
        <v>96000</v>
      </c>
      <c r="D57" t="s">
        <v>133</v>
      </c>
    </row>
    <row r="58" spans="1:14" x14ac:dyDescent="0.2">
      <c r="B58" s="3" t="s">
        <v>42</v>
      </c>
      <c r="C58" s="5">
        <v>1200</v>
      </c>
      <c r="D58" t="s">
        <v>235</v>
      </c>
    </row>
    <row r="59" spans="1:14" x14ac:dyDescent="0.2">
      <c r="B59" s="3" t="s">
        <v>43</v>
      </c>
      <c r="C59" s="5">
        <f>100</f>
        <v>100</v>
      </c>
    </row>
    <row r="60" spans="1:14" s="9" customFormat="1" x14ac:dyDescent="0.2">
      <c r="A60" s="34"/>
      <c r="B60" s="12" t="s">
        <v>185</v>
      </c>
      <c r="C60" s="35">
        <v>100</v>
      </c>
      <c r="D60" t="s">
        <v>138</v>
      </c>
      <c r="E60" s="8"/>
      <c r="F60"/>
      <c r="G60"/>
    </row>
    <row r="61" spans="1:14" x14ac:dyDescent="0.2">
      <c r="B61" s="3" t="s">
        <v>44</v>
      </c>
      <c r="C61" s="6">
        <f>SUM(C57:C60)</f>
        <v>97400</v>
      </c>
    </row>
    <row r="62" spans="1:14" x14ac:dyDescent="0.2">
      <c r="B62" s="16" t="s">
        <v>45</v>
      </c>
      <c r="C62" s="4"/>
      <c r="D62" s="10" t="s">
        <v>167</v>
      </c>
    </row>
    <row r="63" spans="1:14" s="11" customFormat="1" x14ac:dyDescent="0.2">
      <c r="A63" s="34"/>
      <c r="B63" s="25" t="s">
        <v>204</v>
      </c>
      <c r="C63" s="32">
        <f>36500-15000</f>
        <v>21500</v>
      </c>
      <c r="D63" s="31" t="s">
        <v>214</v>
      </c>
      <c r="E63" s="8"/>
      <c r="G63" s="11" t="s">
        <v>220</v>
      </c>
      <c r="H63" s="22" t="s">
        <v>218</v>
      </c>
    </row>
    <row r="64" spans="1:14" x14ac:dyDescent="0.2">
      <c r="B64" s="13" t="s">
        <v>46</v>
      </c>
      <c r="C64" s="35">
        <v>2900</v>
      </c>
      <c r="D64" s="22" t="s">
        <v>219</v>
      </c>
      <c r="G64" s="10"/>
      <c r="K64" s="36" t="s">
        <v>223</v>
      </c>
      <c r="N64" s="36" t="s">
        <v>224</v>
      </c>
    </row>
    <row r="65" spans="1:18" s="9" customFormat="1" x14ac:dyDescent="0.2">
      <c r="A65" s="34"/>
      <c r="B65" s="12" t="s">
        <v>186</v>
      </c>
      <c r="C65" s="35">
        <v>1000</v>
      </c>
      <c r="D65" s="22" t="s">
        <v>226</v>
      </c>
      <c r="E65" s="8"/>
    </row>
    <row r="66" spans="1:18" x14ac:dyDescent="0.2">
      <c r="B66" s="3" t="s">
        <v>47</v>
      </c>
      <c r="C66" s="35">
        <v>4000</v>
      </c>
      <c r="D66" s="22"/>
      <c r="G66" s="22" t="s">
        <v>221</v>
      </c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</row>
    <row r="67" spans="1:18" s="33" customFormat="1" x14ac:dyDescent="0.2">
      <c r="A67" s="34"/>
      <c r="B67" s="16" t="s">
        <v>227</v>
      </c>
      <c r="C67" s="35">
        <v>500</v>
      </c>
      <c r="D67" s="22" t="s">
        <v>228</v>
      </c>
      <c r="E67" s="8"/>
    </row>
    <row r="68" spans="1:18" s="33" customFormat="1" x14ac:dyDescent="0.2">
      <c r="A68" s="34"/>
      <c r="B68" s="16" t="s">
        <v>231</v>
      </c>
      <c r="C68" s="35">
        <v>500</v>
      </c>
      <c r="D68" s="22" t="s">
        <v>229</v>
      </c>
      <c r="E68" s="8"/>
    </row>
    <row r="69" spans="1:18" x14ac:dyDescent="0.2">
      <c r="B69" s="3" t="s">
        <v>48</v>
      </c>
      <c r="C69" s="35">
        <v>1000</v>
      </c>
      <c r="D69" s="22" t="s">
        <v>222</v>
      </c>
      <c r="L69" s="36" t="s">
        <v>225</v>
      </c>
    </row>
    <row r="70" spans="1:18" x14ac:dyDescent="0.2">
      <c r="B70" s="3" t="s">
        <v>49</v>
      </c>
      <c r="C70" s="6">
        <f>SUM(C63:C69)</f>
        <v>31400</v>
      </c>
      <c r="D70" t="s">
        <v>139</v>
      </c>
    </row>
    <row r="71" spans="1:18" x14ac:dyDescent="0.2">
      <c r="B71" s="16" t="s">
        <v>50</v>
      </c>
      <c r="C71" s="4"/>
      <c r="D71" t="s">
        <v>144</v>
      </c>
    </row>
    <row r="72" spans="1:18" x14ac:dyDescent="0.2">
      <c r="B72" s="3" t="s">
        <v>51</v>
      </c>
      <c r="C72" s="5">
        <v>100</v>
      </c>
      <c r="D72" t="s">
        <v>140</v>
      </c>
    </row>
    <row r="73" spans="1:18" x14ac:dyDescent="0.2">
      <c r="B73" s="27" t="s">
        <v>209</v>
      </c>
      <c r="C73" s="28">
        <v>10000</v>
      </c>
      <c r="D73" s="31" t="s">
        <v>217</v>
      </c>
      <c r="G73" t="s">
        <v>146</v>
      </c>
      <c r="K73" t="s">
        <v>147</v>
      </c>
    </row>
    <row r="74" spans="1:18" s="11" customFormat="1" x14ac:dyDescent="0.2">
      <c r="A74" s="34"/>
      <c r="B74" s="27" t="s">
        <v>205</v>
      </c>
      <c r="C74" s="28">
        <v>41300</v>
      </c>
      <c r="D74" s="31" t="s">
        <v>208</v>
      </c>
      <c r="E74" s="8"/>
    </row>
    <row r="75" spans="1:18" s="11" customFormat="1" x14ac:dyDescent="0.2">
      <c r="A75" s="34"/>
      <c r="B75" s="27" t="s">
        <v>210</v>
      </c>
      <c r="C75" s="28">
        <v>29650</v>
      </c>
      <c r="D75" s="31" t="s">
        <v>211</v>
      </c>
      <c r="E75" s="8"/>
    </row>
    <row r="76" spans="1:18" x14ac:dyDescent="0.2">
      <c r="B76" s="26" t="s">
        <v>52</v>
      </c>
      <c r="C76" s="29">
        <f>5000</f>
        <v>5000</v>
      </c>
      <c r="D76" t="s">
        <v>133</v>
      </c>
    </row>
    <row r="77" spans="1:18" x14ac:dyDescent="0.2">
      <c r="B77" s="26" t="s">
        <v>53</v>
      </c>
      <c r="C77" s="29">
        <f>29200</f>
        <v>29200</v>
      </c>
      <c r="D77" t="s">
        <v>133</v>
      </c>
      <c r="G77" s="10" t="s">
        <v>168</v>
      </c>
    </row>
    <row r="78" spans="1:18" x14ac:dyDescent="0.2">
      <c r="B78" s="26" t="s">
        <v>54</v>
      </c>
      <c r="C78" s="29">
        <f>2100</f>
        <v>2100</v>
      </c>
      <c r="D78" t="s">
        <v>133</v>
      </c>
      <c r="F78" s="18" t="s">
        <v>187</v>
      </c>
    </row>
    <row r="79" spans="1:18" x14ac:dyDescent="0.2">
      <c r="B79" s="26" t="s">
        <v>55</v>
      </c>
      <c r="C79" s="29">
        <f>5000</f>
        <v>5000</v>
      </c>
      <c r="D79" t="s">
        <v>133</v>
      </c>
      <c r="G79" s="10" t="s">
        <v>171</v>
      </c>
    </row>
    <row r="80" spans="1:18" x14ac:dyDescent="0.2">
      <c r="B80" s="26" t="s">
        <v>56</v>
      </c>
      <c r="C80" s="29">
        <f>5000</f>
        <v>5000</v>
      </c>
      <c r="D80" s="31" t="s">
        <v>216</v>
      </c>
    </row>
    <row r="81" spans="1:9" x14ac:dyDescent="0.2">
      <c r="B81" s="26" t="s">
        <v>57</v>
      </c>
      <c r="C81" s="29">
        <f>8750</f>
        <v>8750</v>
      </c>
      <c r="D81" t="s">
        <v>133</v>
      </c>
      <c r="G81" s="15" t="s">
        <v>188</v>
      </c>
    </row>
    <row r="82" spans="1:9" x14ac:dyDescent="0.2">
      <c r="B82" s="26" t="s">
        <v>58</v>
      </c>
      <c r="C82" s="29">
        <f>7400</f>
        <v>7400</v>
      </c>
      <c r="D82" t="s">
        <v>141</v>
      </c>
    </row>
    <row r="83" spans="1:9" x14ac:dyDescent="0.2">
      <c r="B83" s="26" t="s">
        <v>59</v>
      </c>
      <c r="C83" s="30"/>
      <c r="D83" t="s">
        <v>142</v>
      </c>
    </row>
    <row r="84" spans="1:9" x14ac:dyDescent="0.2">
      <c r="A84" s="34" t="s">
        <v>238</v>
      </c>
      <c r="B84" s="3" t="s">
        <v>60</v>
      </c>
      <c r="C84" s="5">
        <v>0</v>
      </c>
      <c r="D84" t="s">
        <v>143</v>
      </c>
    </row>
    <row r="85" spans="1:9" x14ac:dyDescent="0.2">
      <c r="B85" s="3" t="s">
        <v>61</v>
      </c>
      <c r="C85" s="6">
        <f>SUM(C72:C75)</f>
        <v>81050</v>
      </c>
    </row>
    <row r="86" spans="1:9" x14ac:dyDescent="0.2">
      <c r="B86" s="16" t="s">
        <v>202</v>
      </c>
      <c r="C86" s="4"/>
    </row>
    <row r="87" spans="1:9" s="9" customFormat="1" x14ac:dyDescent="0.2">
      <c r="A87" s="34"/>
      <c r="B87" s="12" t="s">
        <v>203</v>
      </c>
      <c r="C87" s="4"/>
      <c r="E87" s="8"/>
    </row>
    <row r="88" spans="1:9" x14ac:dyDescent="0.2">
      <c r="B88" s="3" t="s">
        <v>62</v>
      </c>
      <c r="C88" s="5">
        <v>11500</v>
      </c>
      <c r="E88" s="8">
        <f>11500</f>
        <v>11500</v>
      </c>
      <c r="F88" t="s">
        <v>104</v>
      </c>
    </row>
    <row r="89" spans="1:9" s="11" customFormat="1" x14ac:dyDescent="0.2">
      <c r="A89" s="34"/>
      <c r="B89" s="27" t="s">
        <v>206</v>
      </c>
      <c r="C89" s="28">
        <v>5000</v>
      </c>
      <c r="D89" s="31" t="s">
        <v>215</v>
      </c>
      <c r="E89" s="8"/>
    </row>
    <row r="90" spans="1:9" x14ac:dyDescent="0.2">
      <c r="B90" s="3" t="s">
        <v>63</v>
      </c>
      <c r="C90" s="5">
        <v>0</v>
      </c>
      <c r="E90" s="8">
        <v>0</v>
      </c>
      <c r="F90" t="s">
        <v>102</v>
      </c>
    </row>
    <row r="91" spans="1:9" x14ac:dyDescent="0.2">
      <c r="B91" s="3" t="s">
        <v>64</v>
      </c>
      <c r="C91" s="5">
        <v>33000</v>
      </c>
      <c r="E91" s="8">
        <v>37000</v>
      </c>
      <c r="F91" t="s">
        <v>100</v>
      </c>
      <c r="I91" t="s">
        <v>145</v>
      </c>
    </row>
    <row r="92" spans="1:9" x14ac:dyDescent="0.2">
      <c r="B92" s="3" t="s">
        <v>65</v>
      </c>
      <c r="C92" s="4"/>
      <c r="E92" s="8">
        <v>0</v>
      </c>
      <c r="F92" t="s">
        <v>103</v>
      </c>
    </row>
    <row r="93" spans="1:9" x14ac:dyDescent="0.2">
      <c r="B93" s="3" t="s">
        <v>66</v>
      </c>
      <c r="C93" s="35">
        <v>4360</v>
      </c>
      <c r="E93" s="8">
        <v>2000</v>
      </c>
      <c r="F93" s="36" t="s">
        <v>232</v>
      </c>
    </row>
    <row r="94" spans="1:9" x14ac:dyDescent="0.2">
      <c r="B94" s="3" t="s">
        <v>67</v>
      </c>
      <c r="C94" s="5">
        <v>1500</v>
      </c>
      <c r="E94" s="8">
        <v>1500</v>
      </c>
      <c r="F94" t="s">
        <v>100</v>
      </c>
    </row>
    <row r="95" spans="1:9" x14ac:dyDescent="0.2">
      <c r="B95" s="3" t="s">
        <v>68</v>
      </c>
      <c r="C95" s="5">
        <f>420</f>
        <v>420</v>
      </c>
      <c r="E95" s="8">
        <v>420</v>
      </c>
    </row>
    <row r="96" spans="1:9" s="9" customFormat="1" x14ac:dyDescent="0.2">
      <c r="A96" s="34"/>
      <c r="B96" s="13" t="s">
        <v>189</v>
      </c>
      <c r="C96" s="5"/>
      <c r="D96" s="19" t="s">
        <v>131</v>
      </c>
      <c r="E96" s="8"/>
    </row>
    <row r="97" spans="1:11" x14ac:dyDescent="0.2">
      <c r="B97" s="13" t="s">
        <v>69</v>
      </c>
      <c r="C97" s="5">
        <v>0</v>
      </c>
      <c r="E97" s="8">
        <v>0</v>
      </c>
      <c r="F97" t="s">
        <v>101</v>
      </c>
      <c r="G97" s="10" t="s">
        <v>169</v>
      </c>
      <c r="H97" s="10"/>
      <c r="I97" t="s">
        <v>148</v>
      </c>
    </row>
    <row r="98" spans="1:11" x14ac:dyDescent="0.2">
      <c r="B98" s="3" t="s">
        <v>70</v>
      </c>
      <c r="C98" s="6">
        <f>SUM(C88:C97)</f>
        <v>55780</v>
      </c>
      <c r="E98" s="6">
        <f>((((((((E86)+(E88))+(E90))+(E91))+(E92))+(E93))+(E94))+(E95))+(E97)</f>
        <v>52420</v>
      </c>
    </row>
    <row r="99" spans="1:11" x14ac:dyDescent="0.2">
      <c r="B99" s="16" t="s">
        <v>71</v>
      </c>
      <c r="C99" s="4"/>
    </row>
    <row r="100" spans="1:11" x14ac:dyDescent="0.2">
      <c r="B100" s="3" t="s">
        <v>72</v>
      </c>
      <c r="C100" s="5">
        <v>63070</v>
      </c>
    </row>
    <row r="101" spans="1:11" x14ac:dyDescent="0.2">
      <c r="B101" s="3" t="s">
        <v>73</v>
      </c>
      <c r="C101" s="5">
        <f>3250</f>
        <v>3250</v>
      </c>
      <c r="D101" t="s">
        <v>149</v>
      </c>
    </row>
    <row r="102" spans="1:11" x14ac:dyDescent="0.2">
      <c r="B102" s="3" t="s">
        <v>74</v>
      </c>
      <c r="C102" s="5">
        <f>72000</f>
        <v>72000</v>
      </c>
      <c r="D102" t="s">
        <v>150</v>
      </c>
      <c r="I102" s="10" t="s">
        <v>170</v>
      </c>
      <c r="J102" s="10"/>
      <c r="K102" s="10"/>
    </row>
    <row r="103" spans="1:11" s="9" customFormat="1" x14ac:dyDescent="0.2">
      <c r="A103" s="34"/>
      <c r="B103" s="13" t="s">
        <v>190</v>
      </c>
      <c r="C103" s="5"/>
      <c r="D103" s="20" t="s">
        <v>191</v>
      </c>
      <c r="E103" s="8"/>
      <c r="I103" s="10"/>
      <c r="J103" s="10"/>
      <c r="K103" s="10"/>
    </row>
    <row r="104" spans="1:11" x14ac:dyDescent="0.2">
      <c r="B104" s="3" t="s">
        <v>75</v>
      </c>
      <c r="C104" s="5">
        <v>2490</v>
      </c>
      <c r="D104" t="s">
        <v>151</v>
      </c>
      <c r="F104" t="s">
        <v>152</v>
      </c>
    </row>
    <row r="105" spans="1:11" x14ac:dyDescent="0.2">
      <c r="B105" s="13" t="s">
        <v>76</v>
      </c>
      <c r="C105" s="5">
        <v>0</v>
      </c>
      <c r="D105" t="s">
        <v>153</v>
      </c>
      <c r="J105" s="10" t="s">
        <v>154</v>
      </c>
    </row>
    <row r="106" spans="1:11" x14ac:dyDescent="0.2">
      <c r="B106" s="3" t="s">
        <v>77</v>
      </c>
      <c r="C106" s="6">
        <f>SUM(C100:C105)</f>
        <v>140810</v>
      </c>
    </row>
    <row r="107" spans="1:11" x14ac:dyDescent="0.2">
      <c r="B107" s="16" t="s">
        <v>78</v>
      </c>
      <c r="C107" s="4"/>
    </row>
    <row r="108" spans="1:11" s="9" customFormat="1" x14ac:dyDescent="0.2">
      <c r="A108" s="34"/>
      <c r="B108" s="12" t="s">
        <v>192</v>
      </c>
      <c r="C108" s="4">
        <v>100</v>
      </c>
      <c r="D108" s="15" t="s">
        <v>155</v>
      </c>
      <c r="E108" s="17"/>
      <c r="F108" s="15"/>
      <c r="G108" s="15"/>
    </row>
    <row r="109" spans="1:11" x14ac:dyDescent="0.2">
      <c r="B109" s="3" t="s">
        <v>79</v>
      </c>
      <c r="C109" s="5">
        <f>1000</f>
        <v>1000</v>
      </c>
      <c r="D109" t="s">
        <v>158</v>
      </c>
    </row>
    <row r="110" spans="1:11" x14ac:dyDescent="0.2">
      <c r="B110" s="3" t="s">
        <v>80</v>
      </c>
      <c r="C110" s="4">
        <v>0</v>
      </c>
    </row>
    <row r="111" spans="1:11" s="9" customFormat="1" x14ac:dyDescent="0.2">
      <c r="A111" s="34"/>
      <c r="B111" s="12" t="s">
        <v>193</v>
      </c>
      <c r="C111" s="4">
        <v>100</v>
      </c>
      <c r="D111" t="s">
        <v>156</v>
      </c>
      <c r="E111" s="8"/>
      <c r="F111"/>
    </row>
    <row r="112" spans="1:11" x14ac:dyDescent="0.2">
      <c r="B112" s="3" t="s">
        <v>81</v>
      </c>
      <c r="C112" s="6">
        <f>SUM(C108:C111)</f>
        <v>1200</v>
      </c>
    </row>
    <row r="113" spans="1:13" s="66" customFormat="1" x14ac:dyDescent="0.2">
      <c r="B113" s="23" t="s">
        <v>324</v>
      </c>
      <c r="C113" s="21">
        <v>100</v>
      </c>
      <c r="E113" s="8"/>
    </row>
    <row r="114" spans="1:13" x14ac:dyDescent="0.2">
      <c r="B114" s="13" t="s">
        <v>82</v>
      </c>
      <c r="C114" s="4"/>
      <c r="D114" t="s">
        <v>159</v>
      </c>
    </row>
    <row r="115" spans="1:13" x14ac:dyDescent="0.2">
      <c r="B115" s="13" t="s">
        <v>83</v>
      </c>
      <c r="C115" s="4"/>
      <c r="D115" t="s">
        <v>159</v>
      </c>
    </row>
    <row r="116" spans="1:13" x14ac:dyDescent="0.2">
      <c r="B116" s="13" t="s">
        <v>84</v>
      </c>
      <c r="C116" s="4"/>
      <c r="D116" t="s">
        <v>159</v>
      </c>
    </row>
    <row r="117" spans="1:13" x14ac:dyDescent="0.2">
      <c r="B117" s="13" t="s">
        <v>85</v>
      </c>
      <c r="C117" s="4"/>
      <c r="D117" t="s">
        <v>159</v>
      </c>
    </row>
    <row r="118" spans="1:13" x14ac:dyDescent="0.2">
      <c r="B118" s="13" t="s">
        <v>86</v>
      </c>
      <c r="C118" s="6">
        <f>(C116)+(C117)</f>
        <v>0</v>
      </c>
      <c r="D118" t="s">
        <v>159</v>
      </c>
    </row>
    <row r="119" spans="1:13" x14ac:dyDescent="0.2">
      <c r="B119" s="13" t="s">
        <v>87</v>
      </c>
      <c r="C119" s="6">
        <f>(C115)+(C118)</f>
        <v>0</v>
      </c>
      <c r="D119" t="s">
        <v>159</v>
      </c>
    </row>
    <row r="120" spans="1:13" x14ac:dyDescent="0.2">
      <c r="B120" s="13" t="s">
        <v>88</v>
      </c>
      <c r="C120" s="6">
        <f>(C114)+(C119)</f>
        <v>0</v>
      </c>
    </row>
    <row r="121" spans="1:13" x14ac:dyDescent="0.2">
      <c r="B121" s="16" t="s">
        <v>89</v>
      </c>
      <c r="C121" s="42">
        <f>250</f>
        <v>250</v>
      </c>
    </row>
    <row r="122" spans="1:13" x14ac:dyDescent="0.2">
      <c r="B122" s="16" t="s">
        <v>90</v>
      </c>
      <c r="C122" s="4"/>
    </row>
    <row r="123" spans="1:13" s="9" customFormat="1" x14ac:dyDescent="0.2">
      <c r="A123" s="34"/>
      <c r="B123" s="12" t="s">
        <v>196</v>
      </c>
      <c r="C123" s="4"/>
      <c r="E123" s="8"/>
    </row>
    <row r="124" spans="1:13" s="11" customFormat="1" x14ac:dyDescent="0.2">
      <c r="A124" s="34"/>
      <c r="B124" s="25" t="s">
        <v>207</v>
      </c>
      <c r="C124" s="32">
        <v>15000</v>
      </c>
      <c r="D124" s="31" t="s">
        <v>214</v>
      </c>
      <c r="E124" s="8"/>
    </row>
    <row r="125" spans="1:13" s="9" customFormat="1" x14ac:dyDescent="0.2">
      <c r="A125" s="34"/>
      <c r="B125" s="12" t="s">
        <v>197</v>
      </c>
      <c r="C125" s="4"/>
      <c r="D125" s="37" t="s">
        <v>230</v>
      </c>
      <c r="E125" s="8"/>
    </row>
    <row r="126" spans="1:13" x14ac:dyDescent="0.2">
      <c r="B126" s="3" t="s">
        <v>91</v>
      </c>
      <c r="C126" s="5">
        <v>0</v>
      </c>
      <c r="D126" t="s">
        <v>160</v>
      </c>
    </row>
    <row r="127" spans="1:13" s="9" customFormat="1" x14ac:dyDescent="0.2">
      <c r="A127" s="34"/>
      <c r="B127" s="12" t="s">
        <v>198</v>
      </c>
      <c r="C127" s="5">
        <v>100</v>
      </c>
      <c r="E127" s="8"/>
    </row>
    <row r="128" spans="1:13" x14ac:dyDescent="0.2">
      <c r="B128" s="3" t="s">
        <v>92</v>
      </c>
      <c r="C128" s="5">
        <v>35000</v>
      </c>
      <c r="D128" t="s">
        <v>161</v>
      </c>
      <c r="M128" t="s">
        <v>199</v>
      </c>
    </row>
    <row r="129" spans="1:10" x14ac:dyDescent="0.2">
      <c r="B129" s="3" t="s">
        <v>93</v>
      </c>
      <c r="C129" s="6"/>
    </row>
    <row r="130" spans="1:10" s="9" customFormat="1" x14ac:dyDescent="0.2">
      <c r="A130" s="34"/>
      <c r="B130" s="16" t="s">
        <v>194</v>
      </c>
      <c r="C130" s="5">
        <v>5000</v>
      </c>
      <c r="D130" t="s">
        <v>157</v>
      </c>
      <c r="E130" s="8"/>
      <c r="F130"/>
      <c r="G130"/>
      <c r="H130"/>
      <c r="I130"/>
      <c r="J130" s="18" t="s">
        <v>195</v>
      </c>
    </row>
    <row r="131" spans="1:10" x14ac:dyDescent="0.2">
      <c r="B131" s="16" t="s">
        <v>94</v>
      </c>
      <c r="C131" s="21">
        <v>0</v>
      </c>
      <c r="D131" t="s">
        <v>162</v>
      </c>
    </row>
    <row r="132" spans="1:10" s="39" customFormat="1" x14ac:dyDescent="0.2">
      <c r="B132" s="16"/>
      <c r="C132" s="21">
        <f>SUM(C124:C131)</f>
        <v>55100</v>
      </c>
      <c r="E132" s="8"/>
    </row>
    <row r="133" spans="1:10" x14ac:dyDescent="0.2">
      <c r="B133" s="3" t="s">
        <v>95</v>
      </c>
      <c r="C133" s="6">
        <f>SUM(C132+C121+C112+C106+C98+C85+C70+C61+C55+C48+C113)</f>
        <v>570515</v>
      </c>
    </row>
    <row r="134" spans="1:10" x14ac:dyDescent="0.2">
      <c r="B134" s="3" t="s">
        <v>96</v>
      </c>
      <c r="C134" s="6">
        <f>SUM(C30-C133)</f>
        <v>11535</v>
      </c>
    </row>
    <row r="135" spans="1:10" x14ac:dyDescent="0.2">
      <c r="B135" s="3" t="s">
        <v>97</v>
      </c>
      <c r="C135" s="7">
        <f>(C134)+(0)</f>
        <v>11535</v>
      </c>
    </row>
    <row r="136" spans="1:10" x14ac:dyDescent="0.2">
      <c r="B136" s="3"/>
      <c r="C136" s="4"/>
    </row>
    <row r="139" spans="1:10" x14ac:dyDescent="0.2">
      <c r="B139" s="106"/>
      <c r="C139" s="107"/>
    </row>
    <row r="140" spans="1:10" x14ac:dyDescent="0.2">
      <c r="B140" s="22" t="s">
        <v>117</v>
      </c>
    </row>
    <row r="142" spans="1:10" x14ac:dyDescent="0.2">
      <c r="B142" t="s">
        <v>118</v>
      </c>
    </row>
    <row r="143" spans="1:10" x14ac:dyDescent="0.2">
      <c r="B143" t="s">
        <v>113</v>
      </c>
    </row>
    <row r="144" spans="1:10" x14ac:dyDescent="0.2">
      <c r="B144" t="s">
        <v>114</v>
      </c>
    </row>
    <row r="145" spans="2:2" x14ac:dyDescent="0.2">
      <c r="B145" t="s">
        <v>115</v>
      </c>
    </row>
    <row r="146" spans="2:2" x14ac:dyDescent="0.2">
      <c r="B146" t="s">
        <v>116</v>
      </c>
    </row>
    <row r="147" spans="2:2" x14ac:dyDescent="0.2">
      <c r="B147" s="18" t="s">
        <v>201</v>
      </c>
    </row>
  </sheetData>
  <mergeCells count="4">
    <mergeCell ref="B139:C139"/>
    <mergeCell ref="B1:C1"/>
    <mergeCell ref="B2:C2"/>
    <mergeCell ref="B3:C3"/>
  </mergeCells>
  <pageMargins left="0.7" right="0.7" top="0.75" bottom="0.75" header="0.3" footer="0.3"/>
  <pageSetup scale="37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F380B-4C6D-46FE-9994-CB3C458C2DF0}">
  <dimension ref="A1:L138"/>
  <sheetViews>
    <sheetView workbookViewId="0">
      <selection activeCell="A134" sqref="A134"/>
    </sheetView>
  </sheetViews>
  <sheetFormatPr baseColWidth="10" defaultColWidth="9.1640625" defaultRowHeight="15" x14ac:dyDescent="0.2"/>
  <cols>
    <col min="1" max="1" width="13.6640625" style="43" customWidth="1"/>
    <col min="2" max="2" width="47" style="39" customWidth="1"/>
    <col min="3" max="3" width="12" style="39" customWidth="1"/>
    <col min="4" max="4" width="13.1640625" style="39" customWidth="1"/>
    <col min="5" max="5" width="11" style="39" customWidth="1"/>
    <col min="6" max="6" width="13.1640625" style="39" customWidth="1"/>
    <col min="7" max="7" width="21" style="39" customWidth="1"/>
    <col min="8" max="8" width="69.6640625" style="39" customWidth="1"/>
    <col min="9" max="9" width="26.1640625" style="39" customWidth="1"/>
    <col min="10" max="16384" width="9.1640625" style="39"/>
  </cols>
  <sheetData>
    <row r="1" spans="1:9" ht="18" x14ac:dyDescent="0.2">
      <c r="B1" s="108" t="s">
        <v>98</v>
      </c>
      <c r="C1" s="107"/>
      <c r="D1" s="107"/>
      <c r="E1" s="107"/>
      <c r="F1" s="107"/>
    </row>
    <row r="2" spans="1:9" ht="18" x14ac:dyDescent="0.2">
      <c r="B2" s="108"/>
      <c r="C2" s="107"/>
      <c r="D2" s="107"/>
      <c r="E2" s="107"/>
      <c r="F2" s="107"/>
    </row>
    <row r="3" spans="1:9" ht="26" x14ac:dyDescent="0.3">
      <c r="B3" s="113" t="s">
        <v>336</v>
      </c>
      <c r="C3" s="114"/>
      <c r="D3" s="114"/>
      <c r="E3" s="114"/>
      <c r="F3" s="114"/>
      <c r="G3" s="40"/>
    </row>
    <row r="4" spans="1:9" ht="19" x14ac:dyDescent="0.25">
      <c r="C4" s="8"/>
      <c r="D4" s="93" t="s">
        <v>330</v>
      </c>
      <c r="E4" s="93"/>
      <c r="F4" s="8"/>
    </row>
    <row r="5" spans="1:9" x14ac:dyDescent="0.2">
      <c r="A5" s="67"/>
      <c r="B5" s="1"/>
      <c r="C5" s="111" t="s">
        <v>274</v>
      </c>
      <c r="D5" s="112"/>
      <c r="E5" s="112"/>
      <c r="F5" s="112"/>
      <c r="G5" s="39" t="s">
        <v>275</v>
      </c>
      <c r="H5" s="18" t="s">
        <v>332</v>
      </c>
    </row>
    <row r="6" spans="1:9" ht="52" x14ac:dyDescent="0.25">
      <c r="A6" s="41"/>
      <c r="B6" s="1"/>
      <c r="C6" s="2" t="s">
        <v>235</v>
      </c>
      <c r="D6" s="2" t="s">
        <v>0</v>
      </c>
      <c r="E6" s="2" t="s">
        <v>273</v>
      </c>
      <c r="F6" s="2" t="s">
        <v>272</v>
      </c>
      <c r="G6" s="92" t="s">
        <v>271</v>
      </c>
    </row>
    <row r="7" spans="1:9" x14ac:dyDescent="0.2">
      <c r="B7" s="68" t="s">
        <v>1</v>
      </c>
      <c r="C7" s="4"/>
      <c r="D7" s="4"/>
      <c r="E7" s="4"/>
      <c r="F7" s="4"/>
      <c r="G7" s="54"/>
    </row>
    <row r="8" spans="1:9" x14ac:dyDescent="0.2">
      <c r="A8" s="47"/>
      <c r="B8" s="3" t="s">
        <v>2</v>
      </c>
      <c r="C8" s="4"/>
      <c r="D8" s="4"/>
      <c r="E8" s="5"/>
      <c r="F8" s="46" t="str">
        <f t="shared" ref="F8:F17" si="0">IF(D8=0,"",(C8)/(D8))</f>
        <v/>
      </c>
      <c r="G8" s="55"/>
    </row>
    <row r="9" spans="1:9" x14ac:dyDescent="0.2">
      <c r="A9" s="47"/>
      <c r="B9" s="3" t="s">
        <v>3</v>
      </c>
      <c r="C9" s="5">
        <f>370593.27</f>
        <v>370593.27</v>
      </c>
      <c r="D9" s="5">
        <f>380000</f>
        <v>380000</v>
      </c>
      <c r="E9" s="5">
        <f t="shared" ref="E9:E17" si="1">(C9)-(D9)</f>
        <v>-9406.7299999999814</v>
      </c>
      <c r="F9" s="46">
        <f t="shared" si="0"/>
        <v>0.97524544736842111</v>
      </c>
      <c r="G9" s="55">
        <v>352000</v>
      </c>
      <c r="H9" s="39" t="s">
        <v>276</v>
      </c>
    </row>
    <row r="10" spans="1:9" x14ac:dyDescent="0.2">
      <c r="A10" s="47"/>
      <c r="B10" s="3" t="s">
        <v>4</v>
      </c>
      <c r="C10" s="5">
        <f>15015</f>
        <v>15015</v>
      </c>
      <c r="D10" s="5">
        <f>22000</f>
        <v>22000</v>
      </c>
      <c r="E10" s="5">
        <f t="shared" si="1"/>
        <v>-6985</v>
      </c>
      <c r="F10" s="46">
        <f t="shared" si="0"/>
        <v>0.6825</v>
      </c>
      <c r="G10" s="55">
        <v>20750</v>
      </c>
      <c r="H10" s="39" t="s">
        <v>277</v>
      </c>
    </row>
    <row r="11" spans="1:9" x14ac:dyDescent="0.2">
      <c r="A11" s="47"/>
      <c r="B11" s="94" t="s">
        <v>270</v>
      </c>
      <c r="C11" s="5">
        <f>120000</f>
        <v>120000</v>
      </c>
      <c r="D11" s="5">
        <f>120000</f>
        <v>120000</v>
      </c>
      <c r="E11" s="5">
        <f t="shared" si="1"/>
        <v>0</v>
      </c>
      <c r="F11" s="46">
        <f t="shared" si="0"/>
        <v>1</v>
      </c>
      <c r="G11" s="55">
        <v>100000</v>
      </c>
      <c r="H11" s="39" t="s">
        <v>278</v>
      </c>
      <c r="I11" s="73"/>
    </row>
    <row r="12" spans="1:9" x14ac:dyDescent="0.2">
      <c r="A12" s="47"/>
      <c r="B12" s="94" t="s">
        <v>269</v>
      </c>
      <c r="C12" s="5">
        <f>54206.78</f>
        <v>54206.78</v>
      </c>
      <c r="D12" s="5">
        <f>54242</f>
        <v>54242</v>
      </c>
      <c r="E12" s="5">
        <f t="shared" si="1"/>
        <v>-35.220000000001164</v>
      </c>
      <c r="F12" s="46">
        <f t="shared" si="0"/>
        <v>0.99935068765900958</v>
      </c>
      <c r="G12" s="90">
        <v>58503</v>
      </c>
      <c r="H12" s="15" t="s">
        <v>366</v>
      </c>
      <c r="I12" s="76"/>
    </row>
    <row r="13" spans="1:9" x14ac:dyDescent="0.2">
      <c r="A13" s="47"/>
      <c r="B13" s="3" t="s">
        <v>5</v>
      </c>
      <c r="C13" s="4"/>
      <c r="D13" s="5">
        <f>3000</f>
        <v>3000</v>
      </c>
      <c r="E13" s="5">
        <f t="shared" si="1"/>
        <v>-3000</v>
      </c>
      <c r="F13" s="46">
        <f t="shared" si="0"/>
        <v>0</v>
      </c>
      <c r="G13" s="55">
        <v>0</v>
      </c>
      <c r="H13" s="39" t="s">
        <v>279</v>
      </c>
    </row>
    <row r="14" spans="1:9" x14ac:dyDescent="0.2">
      <c r="A14" s="95"/>
      <c r="B14" s="96" t="s">
        <v>6</v>
      </c>
      <c r="C14" s="4"/>
      <c r="D14" s="5">
        <f>28100</f>
        <v>28100</v>
      </c>
      <c r="E14" s="5">
        <f t="shared" si="1"/>
        <v>-28100</v>
      </c>
      <c r="F14" s="46">
        <f t="shared" si="0"/>
        <v>0</v>
      </c>
      <c r="G14" s="56" t="s">
        <v>243</v>
      </c>
      <c r="H14" s="39" t="s">
        <v>280</v>
      </c>
    </row>
    <row r="15" spans="1:9" x14ac:dyDescent="0.2">
      <c r="A15" s="45"/>
      <c r="B15" s="3" t="s">
        <v>7</v>
      </c>
      <c r="C15" s="7">
        <f>((((((C8)+(C9))+(C10))+(C11))+(C12))+(C13))+(C14)</f>
        <v>559815.05000000005</v>
      </c>
      <c r="D15" s="7">
        <f>((((((D8)+(D9))+(D10))+(D11))+(D12))+(D13))+(D14)</f>
        <v>607342</v>
      </c>
      <c r="E15" s="7">
        <f t="shared" si="1"/>
        <v>-47526.949999999953</v>
      </c>
      <c r="F15" s="44">
        <f t="shared" si="0"/>
        <v>0.92174598496399074</v>
      </c>
      <c r="G15" s="57">
        <f>SUM(G9:G14)</f>
        <v>531253</v>
      </c>
    </row>
    <row r="16" spans="1:9" x14ac:dyDescent="0.2">
      <c r="A16" s="47"/>
      <c r="B16" s="3" t="s">
        <v>8</v>
      </c>
      <c r="C16" s="4"/>
      <c r="D16" s="4"/>
      <c r="E16" s="5"/>
      <c r="F16" s="46" t="str">
        <f t="shared" si="0"/>
        <v/>
      </c>
      <c r="G16" s="55"/>
    </row>
    <row r="17" spans="1:8" x14ac:dyDescent="0.2">
      <c r="A17" s="47"/>
      <c r="B17" s="97" t="s">
        <v>337</v>
      </c>
      <c r="C17" s="5">
        <f>-125</f>
        <v>-125</v>
      </c>
      <c r="D17" s="5">
        <f>500</f>
        <v>500</v>
      </c>
      <c r="E17" s="5">
        <f t="shared" si="1"/>
        <v>-625</v>
      </c>
      <c r="F17" s="46">
        <f t="shared" si="0"/>
        <v>-0.25</v>
      </c>
      <c r="G17" s="55">
        <v>800</v>
      </c>
      <c r="H17" s="39" t="s">
        <v>105</v>
      </c>
    </row>
    <row r="18" spans="1:8" x14ac:dyDescent="0.2">
      <c r="A18" s="63"/>
      <c r="B18" s="98" t="s">
        <v>268</v>
      </c>
      <c r="C18" s="5"/>
      <c r="D18" s="5"/>
      <c r="E18" s="5"/>
      <c r="F18" s="46"/>
      <c r="G18" s="61">
        <v>3500</v>
      </c>
      <c r="H18" s="39" t="s">
        <v>281</v>
      </c>
    </row>
    <row r="19" spans="1:8" x14ac:dyDescent="0.2">
      <c r="A19" s="45"/>
      <c r="B19" s="3" t="s">
        <v>10</v>
      </c>
      <c r="C19" s="7">
        <f>(C16)+(C17)</f>
        <v>-125</v>
      </c>
      <c r="D19" s="7">
        <f>(D16)+(D17)</f>
        <v>500</v>
      </c>
      <c r="E19" s="7">
        <f t="shared" ref="E19:E31" si="2">(C19)-(D19)</f>
        <v>-625</v>
      </c>
      <c r="F19" s="44">
        <f t="shared" ref="F19:F31" si="3">IF(D19=0,"",(C19)/(D19))</f>
        <v>-0.25</v>
      </c>
      <c r="G19" s="57">
        <f>SUM(G17:G18)</f>
        <v>4300</v>
      </c>
    </row>
    <row r="20" spans="1:8" x14ac:dyDescent="0.2">
      <c r="A20" s="47"/>
      <c r="B20" s="3" t="s">
        <v>11</v>
      </c>
      <c r="C20" s="4"/>
      <c r="D20" s="4"/>
      <c r="E20" s="5"/>
      <c r="F20" s="46" t="str">
        <f t="shared" si="3"/>
        <v/>
      </c>
      <c r="G20" s="55"/>
    </row>
    <row r="21" spans="1:8" x14ac:dyDescent="0.2">
      <c r="A21" s="51"/>
      <c r="B21" s="96" t="s">
        <v>267</v>
      </c>
      <c r="C21" s="5">
        <f>950</f>
        <v>950</v>
      </c>
      <c r="D21" s="5">
        <f>150</f>
        <v>150</v>
      </c>
      <c r="E21" s="5">
        <f t="shared" si="2"/>
        <v>800</v>
      </c>
      <c r="F21" s="46">
        <f t="shared" si="3"/>
        <v>6.333333333333333</v>
      </c>
      <c r="G21" s="58" t="s">
        <v>243</v>
      </c>
      <c r="H21" s="39" t="s">
        <v>282</v>
      </c>
    </row>
    <row r="22" spans="1:8" x14ac:dyDescent="0.2">
      <c r="A22" s="85"/>
      <c r="B22" s="3" t="s">
        <v>12</v>
      </c>
      <c r="C22" s="5">
        <f>4140</f>
        <v>4140</v>
      </c>
      <c r="D22" s="5">
        <f>6000</f>
        <v>6000</v>
      </c>
      <c r="E22" s="5">
        <f t="shared" si="2"/>
        <v>-1860</v>
      </c>
      <c r="F22" s="46">
        <f t="shared" si="3"/>
        <v>0.69</v>
      </c>
      <c r="G22" s="59">
        <v>19000</v>
      </c>
      <c r="H22" s="39" t="s">
        <v>327</v>
      </c>
    </row>
    <row r="23" spans="1:8" x14ac:dyDescent="0.2">
      <c r="A23" s="45"/>
      <c r="B23" s="3" t="s">
        <v>13</v>
      </c>
      <c r="C23" s="7">
        <f>((C20)+(C21))+(C22)</f>
        <v>5090</v>
      </c>
      <c r="D23" s="7">
        <f>((D20)+(D21))+(D22)</f>
        <v>6150</v>
      </c>
      <c r="E23" s="7">
        <f t="shared" si="2"/>
        <v>-1060</v>
      </c>
      <c r="F23" s="44">
        <f t="shared" si="3"/>
        <v>0.82764227642276422</v>
      </c>
      <c r="G23" s="55">
        <f>SUM(G22)</f>
        <v>19000</v>
      </c>
    </row>
    <row r="24" spans="1:8" x14ac:dyDescent="0.2">
      <c r="A24" s="47"/>
      <c r="B24" s="3" t="s">
        <v>14</v>
      </c>
      <c r="C24" s="4"/>
      <c r="D24" s="4"/>
      <c r="E24" s="5"/>
      <c r="F24" s="46" t="str">
        <f t="shared" si="3"/>
        <v/>
      </c>
      <c r="G24" s="55"/>
    </row>
    <row r="25" spans="1:8" x14ac:dyDescent="0.2">
      <c r="A25" s="51"/>
      <c r="B25" s="96" t="s">
        <v>15</v>
      </c>
      <c r="C25" s="4"/>
      <c r="D25" s="5">
        <f>2000</f>
        <v>2000</v>
      </c>
      <c r="E25" s="5">
        <f t="shared" si="2"/>
        <v>-2000</v>
      </c>
      <c r="F25" s="46">
        <f t="shared" si="3"/>
        <v>0</v>
      </c>
      <c r="G25" s="58" t="s">
        <v>243</v>
      </c>
      <c r="H25" s="39" t="s">
        <v>283</v>
      </c>
    </row>
    <row r="26" spans="1:8" x14ac:dyDescent="0.2">
      <c r="A26" s="48"/>
      <c r="B26" s="99" t="s">
        <v>266</v>
      </c>
      <c r="C26" s="5">
        <f>30650</f>
        <v>30650</v>
      </c>
      <c r="D26" s="5">
        <f>58000</f>
        <v>58000</v>
      </c>
      <c r="E26" s="5">
        <f t="shared" si="2"/>
        <v>-27350</v>
      </c>
      <c r="F26" s="46">
        <f t="shared" si="3"/>
        <v>0.52844827586206899</v>
      </c>
      <c r="G26" s="59">
        <v>37000</v>
      </c>
      <c r="H26" s="39" t="s">
        <v>284</v>
      </c>
    </row>
    <row r="27" spans="1:8" x14ac:dyDescent="0.2">
      <c r="A27" s="45"/>
      <c r="B27" s="3" t="s">
        <v>16</v>
      </c>
      <c r="C27" s="7">
        <f>((C24)+(C25))+(C26)</f>
        <v>30650</v>
      </c>
      <c r="D27" s="7">
        <f>((D24)+(D25))+(D26)</f>
        <v>60000</v>
      </c>
      <c r="E27" s="7">
        <f t="shared" si="2"/>
        <v>-29350</v>
      </c>
      <c r="F27" s="44">
        <f t="shared" si="3"/>
        <v>0.51083333333333336</v>
      </c>
      <c r="G27" s="57">
        <f>SUM(G26)</f>
        <v>37000</v>
      </c>
    </row>
    <row r="28" spans="1:8" x14ac:dyDescent="0.2">
      <c r="A28" s="47"/>
      <c r="B28" s="99" t="s">
        <v>265</v>
      </c>
      <c r="C28" s="5">
        <f>6000</f>
        <v>6000</v>
      </c>
      <c r="D28" s="4"/>
      <c r="E28" s="5">
        <f t="shared" si="2"/>
        <v>6000</v>
      </c>
      <c r="F28" s="46" t="str">
        <f t="shared" si="3"/>
        <v/>
      </c>
      <c r="G28" s="55">
        <v>3000</v>
      </c>
      <c r="H28" s="39" t="s">
        <v>285</v>
      </c>
    </row>
    <row r="29" spans="1:8" x14ac:dyDescent="0.2">
      <c r="A29" s="50"/>
      <c r="B29" s="96" t="s">
        <v>17</v>
      </c>
      <c r="C29" s="5">
        <f>14.06</f>
        <v>14.06</v>
      </c>
      <c r="D29" s="4"/>
      <c r="E29" s="5">
        <f t="shared" si="2"/>
        <v>14.06</v>
      </c>
      <c r="F29" s="46" t="str">
        <f t="shared" si="3"/>
        <v/>
      </c>
      <c r="G29" s="56" t="s">
        <v>243</v>
      </c>
      <c r="H29" s="39" t="s">
        <v>286</v>
      </c>
    </row>
    <row r="30" spans="1:8" x14ac:dyDescent="0.2">
      <c r="A30" s="64"/>
      <c r="B30" s="3" t="s">
        <v>18</v>
      </c>
      <c r="C30" s="7">
        <f>(((((C15)+(C19))+(C23))+(C27))+(C28))+(C29)</f>
        <v>601444.1100000001</v>
      </c>
      <c r="D30" s="7">
        <f>(((((D15)+(D19))+(D23))+(D27))+(D28))+(D29)</f>
        <v>673992</v>
      </c>
      <c r="E30" s="7">
        <f t="shared" si="2"/>
        <v>-72547.889999999898</v>
      </c>
      <c r="F30" s="44">
        <f t="shared" si="3"/>
        <v>0.89236090339351226</v>
      </c>
      <c r="G30" s="62">
        <f>SUM(G15+G19+G23+G27+G28)</f>
        <v>594553</v>
      </c>
    </row>
    <row r="31" spans="1:8" x14ac:dyDescent="0.2">
      <c r="A31" s="45"/>
      <c r="B31" s="3" t="s">
        <v>19</v>
      </c>
      <c r="C31" s="7">
        <f>(C30)-(0)</f>
        <v>601444.1100000001</v>
      </c>
      <c r="D31" s="7">
        <f>(D30)-(0)</f>
        <v>673992</v>
      </c>
      <c r="E31" s="7">
        <f t="shared" si="2"/>
        <v>-72547.889999999898</v>
      </c>
      <c r="F31" s="44">
        <f t="shared" si="3"/>
        <v>0.89236090339351226</v>
      </c>
      <c r="G31" s="57">
        <f>SUM(G15+G19+G23+G27+G28)</f>
        <v>594553</v>
      </c>
    </row>
    <row r="32" spans="1:8" x14ac:dyDescent="0.2">
      <c r="A32" s="47"/>
      <c r="B32" s="68" t="s">
        <v>20</v>
      </c>
      <c r="C32" s="4"/>
      <c r="D32" s="4"/>
      <c r="E32" s="4"/>
      <c r="F32" s="4"/>
      <c r="G32" s="55"/>
    </row>
    <row r="33" spans="1:8" x14ac:dyDescent="0.2">
      <c r="A33" s="47"/>
      <c r="B33" s="3" t="s">
        <v>21</v>
      </c>
      <c r="C33" s="4"/>
      <c r="D33" s="4"/>
      <c r="E33" s="5"/>
      <c r="F33" s="46" t="str">
        <f t="shared" ref="F33:F42" si="4">IF(D33=0,"",(C33)/(D33))</f>
        <v/>
      </c>
      <c r="G33" s="55"/>
    </row>
    <row r="34" spans="1:8" x14ac:dyDescent="0.2">
      <c r="A34" s="47"/>
      <c r="B34" s="3" t="s">
        <v>22</v>
      </c>
      <c r="C34" s="5">
        <f>60500</f>
        <v>60500</v>
      </c>
      <c r="D34" s="5">
        <f>66000</f>
        <v>66000</v>
      </c>
      <c r="E34" s="5">
        <f t="shared" ref="E34:E42" si="5">(C34)-(D34)</f>
        <v>-5500</v>
      </c>
      <c r="F34" s="46">
        <f t="shared" si="4"/>
        <v>0.91666666666666663</v>
      </c>
      <c r="G34" s="55">
        <v>66000</v>
      </c>
      <c r="H34" s="39" t="s">
        <v>133</v>
      </c>
    </row>
    <row r="35" spans="1:8" x14ac:dyDescent="0.2">
      <c r="A35" s="47"/>
      <c r="B35" s="3" t="s">
        <v>23</v>
      </c>
      <c r="C35" s="4"/>
      <c r="D35" s="5">
        <f>650</f>
        <v>650</v>
      </c>
      <c r="E35" s="5">
        <f t="shared" si="5"/>
        <v>-650</v>
      </c>
      <c r="F35" s="46">
        <f t="shared" si="4"/>
        <v>0</v>
      </c>
      <c r="G35" s="90">
        <v>5000</v>
      </c>
      <c r="H35" s="39" t="s">
        <v>333</v>
      </c>
    </row>
    <row r="36" spans="1:8" x14ac:dyDescent="0.2">
      <c r="A36" s="47"/>
      <c r="B36" s="3" t="s">
        <v>24</v>
      </c>
      <c r="C36" s="4"/>
      <c r="D36" s="5">
        <f>10000</f>
        <v>10000</v>
      </c>
      <c r="E36" s="5">
        <f t="shared" si="5"/>
        <v>-10000</v>
      </c>
      <c r="F36" s="46">
        <f t="shared" si="4"/>
        <v>0</v>
      </c>
      <c r="G36" s="55">
        <v>10000</v>
      </c>
      <c r="H36" s="39" t="s">
        <v>287</v>
      </c>
    </row>
    <row r="37" spans="1:8" x14ac:dyDescent="0.2">
      <c r="A37" s="47"/>
      <c r="B37" s="3" t="s">
        <v>25</v>
      </c>
      <c r="C37" s="5">
        <f>-1507.63</f>
        <v>-1507.63</v>
      </c>
      <c r="D37" s="5">
        <f>1000</f>
        <v>1000</v>
      </c>
      <c r="E37" s="5">
        <f t="shared" si="5"/>
        <v>-2507.63</v>
      </c>
      <c r="F37" s="46">
        <f t="shared" si="4"/>
        <v>-1.50763</v>
      </c>
      <c r="G37" s="55">
        <v>4125</v>
      </c>
      <c r="H37" s="39" t="s">
        <v>288</v>
      </c>
    </row>
    <row r="38" spans="1:8" x14ac:dyDescent="0.2">
      <c r="A38" s="47"/>
      <c r="B38" s="3" t="s">
        <v>26</v>
      </c>
      <c r="C38" s="5">
        <f>17472.43</f>
        <v>17472.43</v>
      </c>
      <c r="D38" s="5">
        <f>18000</f>
        <v>18000</v>
      </c>
      <c r="E38" s="5">
        <f t="shared" si="5"/>
        <v>-527.56999999999971</v>
      </c>
      <c r="F38" s="46">
        <f t="shared" si="4"/>
        <v>0.97069055555555561</v>
      </c>
      <c r="G38" s="55">
        <v>5000</v>
      </c>
      <c r="H38" s="39" t="s">
        <v>289</v>
      </c>
    </row>
    <row r="39" spans="1:8" x14ac:dyDescent="0.2">
      <c r="A39" s="51"/>
      <c r="B39" s="96" t="s">
        <v>27</v>
      </c>
      <c r="C39" s="5">
        <f>1100</f>
        <v>1100</v>
      </c>
      <c r="D39" s="5">
        <f>1300</f>
        <v>1300</v>
      </c>
      <c r="E39" s="5">
        <f t="shared" si="5"/>
        <v>-200</v>
      </c>
      <c r="F39" s="46">
        <f t="shared" si="4"/>
        <v>0.84615384615384615</v>
      </c>
      <c r="G39" s="58" t="s">
        <v>243</v>
      </c>
      <c r="H39" s="39" t="s">
        <v>290</v>
      </c>
    </row>
    <row r="40" spans="1:8" x14ac:dyDescent="0.2">
      <c r="A40" s="51"/>
      <c r="B40" s="96" t="s">
        <v>28</v>
      </c>
      <c r="C40" s="5">
        <f>1054.53</f>
        <v>1054.53</v>
      </c>
      <c r="D40" s="5">
        <f>1600</f>
        <v>1600</v>
      </c>
      <c r="E40" s="5">
        <f t="shared" si="5"/>
        <v>-545.47</v>
      </c>
      <c r="F40" s="46">
        <f t="shared" si="4"/>
        <v>0.65908124999999995</v>
      </c>
      <c r="G40" s="58" t="s">
        <v>243</v>
      </c>
      <c r="H40" s="39" t="s">
        <v>291</v>
      </c>
    </row>
    <row r="41" spans="1:8" x14ac:dyDescent="0.2">
      <c r="A41" s="51"/>
      <c r="B41" s="96" t="s">
        <v>29</v>
      </c>
      <c r="C41" s="5">
        <f>169.1</f>
        <v>169.1</v>
      </c>
      <c r="D41" s="5">
        <f>700</f>
        <v>700</v>
      </c>
      <c r="E41" s="5">
        <f t="shared" si="5"/>
        <v>-530.9</v>
      </c>
      <c r="F41" s="46">
        <f t="shared" si="4"/>
        <v>0.24157142857142858</v>
      </c>
      <c r="G41" s="58" t="s">
        <v>243</v>
      </c>
      <c r="H41" s="39" t="s">
        <v>291</v>
      </c>
    </row>
    <row r="42" spans="1:8" x14ac:dyDescent="0.2">
      <c r="A42" s="51"/>
      <c r="B42" s="96" t="s">
        <v>30</v>
      </c>
      <c r="C42" s="4"/>
      <c r="D42" s="5">
        <f>60</f>
        <v>60</v>
      </c>
      <c r="E42" s="5">
        <f t="shared" si="5"/>
        <v>-60</v>
      </c>
      <c r="F42" s="46">
        <f t="shared" si="4"/>
        <v>0</v>
      </c>
      <c r="G42" s="58" t="s">
        <v>243</v>
      </c>
      <c r="H42" s="39" t="s">
        <v>292</v>
      </c>
    </row>
    <row r="43" spans="1:8" x14ac:dyDescent="0.2">
      <c r="A43" s="51"/>
      <c r="B43" s="96" t="s">
        <v>264</v>
      </c>
      <c r="C43" s="4"/>
      <c r="D43" s="5"/>
      <c r="E43" s="5"/>
      <c r="F43" s="46"/>
      <c r="G43" s="58" t="s">
        <v>243</v>
      </c>
      <c r="H43" s="39" t="s">
        <v>291</v>
      </c>
    </row>
    <row r="44" spans="1:8" x14ac:dyDescent="0.2">
      <c r="A44" s="51"/>
      <c r="B44" s="96" t="s">
        <v>31</v>
      </c>
      <c r="C44" s="5">
        <f>1925</f>
        <v>1925</v>
      </c>
      <c r="D44" s="5">
        <f>2100</f>
        <v>2100</v>
      </c>
      <c r="E44" s="5">
        <f t="shared" ref="E44:E49" si="6">(C44)-(D44)</f>
        <v>-175</v>
      </c>
      <c r="F44" s="46">
        <f t="shared" ref="F44:F50" si="7">IF(D44=0,"",(C44)/(D44))</f>
        <v>0.91666666666666663</v>
      </c>
      <c r="G44" s="58" t="s">
        <v>243</v>
      </c>
      <c r="H44" s="39" t="s">
        <v>291</v>
      </c>
    </row>
    <row r="45" spans="1:8" x14ac:dyDescent="0.2">
      <c r="A45" s="47"/>
      <c r="B45" s="3" t="s">
        <v>32</v>
      </c>
      <c r="C45" s="5">
        <f>3086.69</f>
        <v>3086.69</v>
      </c>
      <c r="D45" s="5">
        <f>4000</f>
        <v>4000</v>
      </c>
      <c r="E45" s="5">
        <f t="shared" si="6"/>
        <v>-913.31</v>
      </c>
      <c r="F45" s="46">
        <f t="shared" si="7"/>
        <v>0.77167249999999998</v>
      </c>
      <c r="G45" s="55">
        <v>4500</v>
      </c>
      <c r="H45" s="39" t="s">
        <v>293</v>
      </c>
    </row>
    <row r="46" spans="1:8" x14ac:dyDescent="0.2">
      <c r="A46" s="47"/>
      <c r="B46" s="3" t="s">
        <v>33</v>
      </c>
      <c r="C46" s="5">
        <f>24750</f>
        <v>24750</v>
      </c>
      <c r="D46" s="5">
        <f>27000</f>
        <v>27000</v>
      </c>
      <c r="E46" s="5">
        <f t="shared" si="6"/>
        <v>-2250</v>
      </c>
      <c r="F46" s="46">
        <f t="shared" si="7"/>
        <v>0.91666666666666663</v>
      </c>
      <c r="G46" s="55">
        <v>13500</v>
      </c>
      <c r="H46" s="39" t="s">
        <v>294</v>
      </c>
    </row>
    <row r="47" spans="1:8" x14ac:dyDescent="0.2">
      <c r="A47" s="84"/>
      <c r="B47" s="96" t="s">
        <v>34</v>
      </c>
      <c r="C47" s="5">
        <f>31937.43</f>
        <v>31937.43</v>
      </c>
      <c r="D47" s="5">
        <f>36500</f>
        <v>36500</v>
      </c>
      <c r="E47" s="5">
        <f t="shared" si="6"/>
        <v>-4562.57</v>
      </c>
      <c r="F47" s="46">
        <f t="shared" si="7"/>
        <v>0.87499808219178088</v>
      </c>
      <c r="G47" s="58">
        <v>5000</v>
      </c>
      <c r="H47" s="81" t="s">
        <v>329</v>
      </c>
    </row>
    <row r="48" spans="1:8" x14ac:dyDescent="0.2">
      <c r="A48" s="50"/>
      <c r="B48" s="96" t="s">
        <v>35</v>
      </c>
      <c r="C48" s="5">
        <f>96.48</f>
        <v>96.48</v>
      </c>
      <c r="D48" s="5">
        <f>115</f>
        <v>115</v>
      </c>
      <c r="E48" s="5">
        <f t="shared" si="6"/>
        <v>-18.519999999999996</v>
      </c>
      <c r="F48" s="46">
        <f t="shared" si="7"/>
        <v>0.83895652173913049</v>
      </c>
      <c r="G48" s="56" t="s">
        <v>243</v>
      </c>
      <c r="H48" s="39" t="s">
        <v>291</v>
      </c>
    </row>
    <row r="49" spans="1:8" x14ac:dyDescent="0.2">
      <c r="A49" s="45"/>
      <c r="B49" s="3" t="s">
        <v>36</v>
      </c>
      <c r="C49" s="7">
        <f>((((((((((((((C33)+(C34))+(C35))+(C36))+(C37))+(C38))+(C39))+(C40))+(C41))+(C42))+(C44))+(C45))+(C46))+(C47))+(C48)</f>
        <v>140584.03000000003</v>
      </c>
      <c r="D49" s="7">
        <f>((((((((((((((D33)+(D34))+(D35))+(D36))+(D37))+(D38))+(D39))+(D40))+(D41))+(D42))+(D44))+(D45))+(D46))+(D47))+(D48)</f>
        <v>169025</v>
      </c>
      <c r="E49" s="7">
        <f t="shared" si="6"/>
        <v>-28440.969999999972</v>
      </c>
      <c r="F49" s="44">
        <f t="shared" si="7"/>
        <v>0.8317351279396541</v>
      </c>
      <c r="G49" s="57">
        <f>SUM(G34:G48)</f>
        <v>113125</v>
      </c>
    </row>
    <row r="50" spans="1:8" x14ac:dyDescent="0.2">
      <c r="A50" s="47"/>
      <c r="B50" s="3" t="s">
        <v>37</v>
      </c>
      <c r="C50" s="4"/>
      <c r="D50" s="4"/>
      <c r="E50" s="5"/>
      <c r="F50" s="46" t="str">
        <f t="shared" si="7"/>
        <v/>
      </c>
      <c r="G50" s="55"/>
    </row>
    <row r="51" spans="1:8" x14ac:dyDescent="0.2">
      <c r="A51" s="47"/>
      <c r="B51" s="98" t="s">
        <v>263</v>
      </c>
      <c r="C51" s="4"/>
      <c r="D51" s="4"/>
      <c r="E51" s="5"/>
      <c r="F51" s="46"/>
      <c r="G51" s="55">
        <v>100</v>
      </c>
      <c r="H51" s="39" t="s">
        <v>295</v>
      </c>
    </row>
    <row r="52" spans="1:8" x14ac:dyDescent="0.2">
      <c r="A52" s="47"/>
      <c r="B52" s="12" t="s">
        <v>262</v>
      </c>
      <c r="C52" s="4"/>
      <c r="D52" s="4"/>
      <c r="E52" s="5"/>
      <c r="F52" s="46"/>
      <c r="G52" s="55"/>
      <c r="H52" s="39" t="s">
        <v>296</v>
      </c>
    </row>
    <row r="53" spans="1:8" x14ac:dyDescent="0.2">
      <c r="A53" s="47"/>
      <c r="B53" s="12" t="s">
        <v>261</v>
      </c>
      <c r="C53" s="4"/>
      <c r="D53" s="4"/>
      <c r="E53" s="5"/>
      <c r="F53" s="46"/>
      <c r="G53" s="55"/>
      <c r="H53" s="39" t="s">
        <v>296</v>
      </c>
    </row>
    <row r="54" spans="1:8" x14ac:dyDescent="0.2">
      <c r="A54" s="47"/>
      <c r="B54" s="3" t="s">
        <v>38</v>
      </c>
      <c r="C54" s="5">
        <f>96.46</f>
        <v>96.46</v>
      </c>
      <c r="D54" s="5">
        <f>100</f>
        <v>100</v>
      </c>
      <c r="E54" s="5">
        <f>(C54)-(D54)</f>
        <v>-3.5400000000000063</v>
      </c>
      <c r="F54" s="46">
        <f>IF(D54=0,"",(C54)/(D54))</f>
        <v>0.9645999999999999</v>
      </c>
      <c r="G54" s="55">
        <v>100</v>
      </c>
    </row>
    <row r="55" spans="1:8" x14ac:dyDescent="0.2">
      <c r="A55" s="48"/>
      <c r="B55" s="3" t="s">
        <v>260</v>
      </c>
      <c r="C55" s="5"/>
      <c r="D55" s="5"/>
      <c r="E55" s="5"/>
      <c r="F55" s="46"/>
      <c r="G55" s="59">
        <v>100</v>
      </c>
    </row>
    <row r="56" spans="1:8" x14ac:dyDescent="0.2">
      <c r="A56" s="45"/>
      <c r="B56" s="3" t="s">
        <v>39</v>
      </c>
      <c r="C56" s="7">
        <f>(C50)+(C54)</f>
        <v>96.46</v>
      </c>
      <c r="D56" s="7">
        <f>(D50)+(D54)</f>
        <v>100</v>
      </c>
      <c r="E56" s="7">
        <f>(C56)-(D56)</f>
        <v>-3.5400000000000063</v>
      </c>
      <c r="F56" s="44">
        <f>IF(D56=0,"",(C56)/(D56))</f>
        <v>0.9645999999999999</v>
      </c>
      <c r="G56" s="57">
        <f>SUM(G50:G55)</f>
        <v>300</v>
      </c>
    </row>
    <row r="57" spans="1:8" x14ac:dyDescent="0.2">
      <c r="A57" s="47"/>
      <c r="B57" s="3" t="s">
        <v>40</v>
      </c>
      <c r="C57" s="4"/>
      <c r="D57" s="4"/>
      <c r="E57" s="5"/>
      <c r="F57" s="46" t="str">
        <f>IF(D57=0,"",(C57)/(D57))</f>
        <v/>
      </c>
      <c r="G57" s="55"/>
    </row>
    <row r="58" spans="1:8" x14ac:dyDescent="0.2">
      <c r="A58" s="47"/>
      <c r="B58" s="3" t="s">
        <v>41</v>
      </c>
      <c r="C58" s="5">
        <f>88000</f>
        <v>88000</v>
      </c>
      <c r="D58" s="5">
        <f>96000</f>
        <v>96000</v>
      </c>
      <c r="E58" s="5">
        <f>(C58)-(D58)</f>
        <v>-8000</v>
      </c>
      <c r="F58" s="46">
        <f>IF(D58=0,"",(C58)/(D58))</f>
        <v>0.91666666666666663</v>
      </c>
      <c r="G58" s="55">
        <v>96000</v>
      </c>
      <c r="H58" s="39" t="s">
        <v>133</v>
      </c>
    </row>
    <row r="59" spans="1:8" x14ac:dyDescent="0.2">
      <c r="A59" s="47"/>
      <c r="B59" s="3" t="s">
        <v>42</v>
      </c>
      <c r="C59" s="5">
        <f>653.92</f>
        <v>653.91999999999996</v>
      </c>
      <c r="D59" s="5">
        <f>1000</f>
        <v>1000</v>
      </c>
      <c r="E59" s="5">
        <f>(C59)-(D59)</f>
        <v>-346.08000000000004</v>
      </c>
      <c r="F59" s="46">
        <f>IF(D59=0,"",(C59)/(D59))</f>
        <v>0.65391999999999995</v>
      </c>
      <c r="G59" s="55">
        <v>1200</v>
      </c>
      <c r="H59" s="39" t="s">
        <v>105</v>
      </c>
    </row>
    <row r="60" spans="1:8" x14ac:dyDescent="0.2">
      <c r="A60" s="47"/>
      <c r="B60" s="3" t="s">
        <v>43</v>
      </c>
      <c r="C60" s="5">
        <f>35.46</f>
        <v>35.46</v>
      </c>
      <c r="D60" s="5">
        <f>100</f>
        <v>100</v>
      </c>
      <c r="E60" s="5">
        <f>(C60)-(D60)</f>
        <v>-64.539999999999992</v>
      </c>
      <c r="F60" s="46">
        <f>IF(D60=0,"",(C60)/(D60))</f>
        <v>0.35460000000000003</v>
      </c>
      <c r="G60" s="55">
        <v>100</v>
      </c>
    </row>
    <row r="61" spans="1:8" x14ac:dyDescent="0.2">
      <c r="A61" s="48"/>
      <c r="B61" s="98" t="s">
        <v>259</v>
      </c>
      <c r="C61" s="5"/>
      <c r="D61" s="5"/>
      <c r="E61" s="5"/>
      <c r="F61" s="46"/>
      <c r="G61" s="59">
        <v>100</v>
      </c>
    </row>
    <row r="62" spans="1:8" x14ac:dyDescent="0.2">
      <c r="A62" s="45"/>
      <c r="B62" s="3" t="s">
        <v>44</v>
      </c>
      <c r="C62" s="7">
        <f>(((C57)+(C58))+(C59))+(C60)</f>
        <v>88689.38</v>
      </c>
      <c r="D62" s="7">
        <f>(((D57)+(D58))+(D59))+(D60)</f>
        <v>97100</v>
      </c>
      <c r="E62" s="7">
        <f>(C62)-(D62)</f>
        <v>-8410.6199999999953</v>
      </c>
      <c r="F62" s="44">
        <f>IF(D62=0,"",(C62)/(D62))</f>
        <v>0.91338187435633378</v>
      </c>
      <c r="G62" s="57">
        <f>SUM(G58:G61)</f>
        <v>97400</v>
      </c>
    </row>
    <row r="63" spans="1:8" x14ac:dyDescent="0.2">
      <c r="A63" s="47"/>
      <c r="B63" s="3" t="s">
        <v>45</v>
      </c>
      <c r="C63" s="4"/>
      <c r="D63" s="4"/>
      <c r="E63" s="5"/>
      <c r="F63" s="46" t="str">
        <f>IF(D63=0,"",(C63)/(D63))</f>
        <v/>
      </c>
      <c r="G63" s="55"/>
      <c r="H63" s="39" t="s">
        <v>300</v>
      </c>
    </row>
    <row r="64" spans="1:8" x14ac:dyDescent="0.2">
      <c r="A64" s="47"/>
      <c r="B64" s="98" t="s">
        <v>258</v>
      </c>
      <c r="C64" s="5">
        <f>3474.63</f>
        <v>3474.63</v>
      </c>
      <c r="D64" s="5">
        <f>6000</f>
        <v>6000</v>
      </c>
      <c r="E64" s="5">
        <f>(C64)-(D64)</f>
        <v>-2525.37</v>
      </c>
      <c r="F64" s="46">
        <f>IF(D64=0,"",(C64)/(D64))</f>
        <v>0.57910499999999998</v>
      </c>
      <c r="G64" s="55">
        <v>4000</v>
      </c>
      <c r="H64" s="39" t="s">
        <v>299</v>
      </c>
    </row>
    <row r="65" spans="1:12" x14ac:dyDescent="0.2">
      <c r="A65" s="47"/>
      <c r="B65" s="98" t="s">
        <v>257</v>
      </c>
      <c r="C65" s="4"/>
      <c r="D65" s="5">
        <f>1500</f>
        <v>1500</v>
      </c>
      <c r="E65" s="5">
        <f>(C65)-(D65)</f>
        <v>-1500</v>
      </c>
      <c r="F65" s="46">
        <f>IF(D65=0,"",(C65)/(D65))</f>
        <v>0</v>
      </c>
      <c r="G65" s="55">
        <v>2900</v>
      </c>
      <c r="H65" s="39" t="s">
        <v>298</v>
      </c>
    </row>
    <row r="66" spans="1:12" x14ac:dyDescent="0.2">
      <c r="A66" s="80"/>
      <c r="B66" s="98" t="s">
        <v>256</v>
      </c>
      <c r="C66" s="4"/>
      <c r="D66" s="5"/>
      <c r="E66" s="5"/>
      <c r="F66" s="46"/>
      <c r="G66" s="55">
        <v>21500</v>
      </c>
      <c r="H66" s="39" t="s">
        <v>297</v>
      </c>
    </row>
    <row r="67" spans="1:12" x14ac:dyDescent="0.2">
      <c r="A67" s="47"/>
      <c r="B67" s="98" t="s">
        <v>338</v>
      </c>
      <c r="C67" s="4"/>
      <c r="D67" s="5">
        <f>200</f>
        <v>200</v>
      </c>
      <c r="E67" s="5">
        <f>(C67)-(D67)</f>
        <v>-200</v>
      </c>
      <c r="F67" s="46">
        <f>IF(D67=0,"",(C67)/(D67))</f>
        <v>0</v>
      </c>
      <c r="G67" s="55">
        <v>1000</v>
      </c>
      <c r="H67" s="39" t="s">
        <v>301</v>
      </c>
    </row>
    <row r="68" spans="1:12" x14ac:dyDescent="0.2">
      <c r="A68" s="47"/>
      <c r="B68" s="98" t="s">
        <v>255</v>
      </c>
      <c r="C68" s="4"/>
      <c r="D68" s="5"/>
      <c r="E68" s="5"/>
      <c r="F68" s="46"/>
      <c r="G68" s="55">
        <v>1000</v>
      </c>
      <c r="H68" s="39" t="s">
        <v>302</v>
      </c>
    </row>
    <row r="69" spans="1:12" x14ac:dyDescent="0.2">
      <c r="A69" s="47"/>
      <c r="B69" s="98" t="s">
        <v>339</v>
      </c>
      <c r="C69" s="5"/>
      <c r="D69" s="5"/>
      <c r="E69" s="5"/>
      <c r="F69" s="46"/>
      <c r="G69" s="55">
        <v>500</v>
      </c>
      <c r="H69" s="39" t="s">
        <v>303</v>
      </c>
    </row>
    <row r="70" spans="1:12" ht="15.75" customHeight="1" x14ac:dyDescent="0.2">
      <c r="A70" s="48"/>
      <c r="B70" s="98" t="s">
        <v>304</v>
      </c>
      <c r="C70" s="5"/>
      <c r="D70" s="5"/>
      <c r="E70" s="5"/>
      <c r="F70" s="46"/>
      <c r="G70" s="59">
        <v>500</v>
      </c>
      <c r="H70" s="39" t="s">
        <v>305</v>
      </c>
    </row>
    <row r="71" spans="1:12" x14ac:dyDescent="0.2">
      <c r="A71" s="45"/>
      <c r="B71" s="3" t="s">
        <v>49</v>
      </c>
      <c r="C71" s="7">
        <f>(((C63)+(C66))+(C64))+(C67)</f>
        <v>3474.63</v>
      </c>
      <c r="D71" s="7">
        <f>(((D63)+(D66))+(D64))+(D67)</f>
        <v>6200</v>
      </c>
      <c r="E71" s="7">
        <f>(C71)-(D71)</f>
        <v>-2725.37</v>
      </c>
      <c r="F71" s="44">
        <f>IF(D71=0,"",(C71)/(D71))</f>
        <v>0.56042419354838713</v>
      </c>
      <c r="G71" s="57">
        <f>SUM(G64:G70)</f>
        <v>31400</v>
      </c>
    </row>
    <row r="72" spans="1:12" x14ac:dyDescent="0.2">
      <c r="A72" s="47"/>
      <c r="B72" s="3" t="s">
        <v>50</v>
      </c>
      <c r="C72" s="4"/>
      <c r="D72" s="4"/>
      <c r="E72" s="5"/>
      <c r="F72" s="46" t="str">
        <f>IF(D72=0,"",(C72)/(D72))</f>
        <v/>
      </c>
      <c r="G72" s="55"/>
    </row>
    <row r="73" spans="1:12" x14ac:dyDescent="0.2">
      <c r="A73" s="47"/>
      <c r="B73" s="3" t="s">
        <v>51</v>
      </c>
      <c r="C73" s="4"/>
      <c r="D73" s="5">
        <f>250</f>
        <v>250</v>
      </c>
      <c r="E73" s="5">
        <f>(C73)-(D73)</f>
        <v>-250</v>
      </c>
      <c r="F73" s="46">
        <f>IF(D73=0,"",(C73)/(D73))</f>
        <v>0</v>
      </c>
      <c r="G73" s="55">
        <v>100</v>
      </c>
    </row>
    <row r="74" spans="1:12" x14ac:dyDescent="0.2">
      <c r="A74" s="83"/>
      <c r="B74" s="98" t="s">
        <v>209</v>
      </c>
      <c r="C74" s="5">
        <f>8749.88</f>
        <v>8749.8799999999992</v>
      </c>
      <c r="D74" s="5">
        <f>10000</f>
        <v>10000</v>
      </c>
      <c r="E74" s="5">
        <f>(C74)-(D74)</f>
        <v>-1250.1200000000008</v>
      </c>
      <c r="F74" s="46">
        <f>IF(D74=0,"",(C74)/(D74))</f>
        <v>0.87498799999999988</v>
      </c>
      <c r="G74" s="60">
        <v>7500</v>
      </c>
      <c r="H74" s="39" t="s">
        <v>328</v>
      </c>
    </row>
    <row r="75" spans="1:12" x14ac:dyDescent="0.2">
      <c r="A75" s="52"/>
      <c r="B75" s="23" t="s">
        <v>340</v>
      </c>
      <c r="C75" s="5"/>
      <c r="D75" s="5"/>
      <c r="E75" s="5"/>
      <c r="F75" s="46"/>
      <c r="G75" s="60">
        <v>41300</v>
      </c>
      <c r="H75" s="39" t="s">
        <v>306</v>
      </c>
    </row>
    <row r="76" spans="1:12" x14ac:dyDescent="0.2">
      <c r="A76" s="52"/>
      <c r="B76" s="98" t="s">
        <v>254</v>
      </c>
      <c r="C76" s="5"/>
      <c r="D76" s="5"/>
      <c r="E76" s="5"/>
      <c r="F76" s="46"/>
      <c r="G76" s="60">
        <v>29650</v>
      </c>
      <c r="H76" s="69" t="s">
        <v>211</v>
      </c>
      <c r="I76" s="75"/>
      <c r="J76" s="65"/>
      <c r="K76" s="65"/>
      <c r="L76" s="65"/>
    </row>
    <row r="77" spans="1:12" x14ac:dyDescent="0.2">
      <c r="A77" s="47"/>
      <c r="B77" s="53" t="s">
        <v>341</v>
      </c>
      <c r="C77" s="5">
        <f>4583.37</f>
        <v>4583.37</v>
      </c>
      <c r="D77" s="5">
        <f>5000</f>
        <v>5000</v>
      </c>
      <c r="E77" s="5">
        <f t="shared" ref="E77:E88" si="8">(C77)-(D77)</f>
        <v>-416.63000000000011</v>
      </c>
      <c r="F77" s="46">
        <f t="shared" ref="F77:F88" si="9">IF(D77=0,"",(C77)/(D77))</f>
        <v>0.91667399999999999</v>
      </c>
      <c r="G77" s="55"/>
      <c r="H77" s="69" t="s">
        <v>133</v>
      </c>
    </row>
    <row r="78" spans="1:12" x14ac:dyDescent="0.2">
      <c r="A78" s="47"/>
      <c r="B78" s="53" t="s">
        <v>342</v>
      </c>
      <c r="C78" s="5">
        <f>28141.63</f>
        <v>28141.63</v>
      </c>
      <c r="D78" s="5">
        <f>29200</f>
        <v>29200</v>
      </c>
      <c r="E78" s="5">
        <f t="shared" si="8"/>
        <v>-1058.369999999999</v>
      </c>
      <c r="F78" s="46">
        <f t="shared" si="9"/>
        <v>0.9637544520547946</v>
      </c>
      <c r="G78" s="55"/>
      <c r="H78" s="69" t="s">
        <v>133</v>
      </c>
    </row>
    <row r="79" spans="1:12" x14ac:dyDescent="0.2">
      <c r="A79" s="47"/>
      <c r="B79" s="53" t="s">
        <v>343</v>
      </c>
      <c r="C79" s="5">
        <f>3110</f>
        <v>3110</v>
      </c>
      <c r="D79" s="5">
        <f>2100</f>
        <v>2100</v>
      </c>
      <c r="E79" s="5">
        <f t="shared" si="8"/>
        <v>1010</v>
      </c>
      <c r="F79" s="46">
        <f t="shared" si="9"/>
        <v>1.480952380952381</v>
      </c>
      <c r="G79" s="55"/>
      <c r="H79" s="69" t="s">
        <v>133</v>
      </c>
    </row>
    <row r="80" spans="1:12" x14ac:dyDescent="0.2">
      <c r="A80" s="47"/>
      <c r="B80" s="53" t="s">
        <v>344</v>
      </c>
      <c r="C80" s="5">
        <f>4583.28</f>
        <v>4583.28</v>
      </c>
      <c r="D80" s="5">
        <f>5000</f>
        <v>5000</v>
      </c>
      <c r="E80" s="5">
        <f t="shared" si="8"/>
        <v>-416.72000000000025</v>
      </c>
      <c r="F80" s="46">
        <f t="shared" si="9"/>
        <v>0.91665599999999992</v>
      </c>
      <c r="G80" s="55"/>
      <c r="H80" s="69" t="s">
        <v>133</v>
      </c>
    </row>
    <row r="81" spans="1:8" x14ac:dyDescent="0.2">
      <c r="A81" s="47"/>
      <c r="B81" s="53" t="s">
        <v>253</v>
      </c>
      <c r="C81" s="5">
        <f>4374.95</f>
        <v>4374.95</v>
      </c>
      <c r="D81" s="5">
        <f>5000</f>
        <v>5000</v>
      </c>
      <c r="E81" s="5">
        <f t="shared" si="8"/>
        <v>-625.05000000000018</v>
      </c>
      <c r="F81" s="46">
        <f t="shared" si="9"/>
        <v>0.87498999999999993</v>
      </c>
      <c r="G81" s="55"/>
      <c r="H81" s="69" t="s">
        <v>307</v>
      </c>
    </row>
    <row r="82" spans="1:8" x14ac:dyDescent="0.2">
      <c r="A82" s="47"/>
      <c r="B82" s="53" t="s">
        <v>57</v>
      </c>
      <c r="C82" s="5">
        <f>6562.56</f>
        <v>6562.56</v>
      </c>
      <c r="D82" s="5">
        <f>8750</f>
        <v>8750</v>
      </c>
      <c r="E82" s="5">
        <f t="shared" si="8"/>
        <v>-2187.4399999999996</v>
      </c>
      <c r="F82" s="46">
        <f t="shared" si="9"/>
        <v>0.7500068571428572</v>
      </c>
      <c r="G82" s="55"/>
      <c r="H82" s="69" t="s">
        <v>133</v>
      </c>
    </row>
    <row r="83" spans="1:8" x14ac:dyDescent="0.2">
      <c r="A83" s="47"/>
      <c r="B83" s="53" t="s">
        <v>252</v>
      </c>
      <c r="C83" s="5">
        <f>13892.48</f>
        <v>13892.48</v>
      </c>
      <c r="D83" s="5">
        <f>7400</f>
        <v>7400</v>
      </c>
      <c r="E83" s="5">
        <f t="shared" si="8"/>
        <v>6492.48</v>
      </c>
      <c r="F83" s="46">
        <f t="shared" si="9"/>
        <v>1.8773621621621621</v>
      </c>
      <c r="G83" s="55"/>
    </row>
    <row r="84" spans="1:8" x14ac:dyDescent="0.2">
      <c r="A84" s="47"/>
      <c r="B84" s="53" t="s">
        <v>251</v>
      </c>
      <c r="C84" s="5">
        <f>216</f>
        <v>216</v>
      </c>
      <c r="D84" s="4"/>
      <c r="E84" s="5">
        <f t="shared" si="8"/>
        <v>216</v>
      </c>
      <c r="F84" s="46" t="str">
        <f t="shared" si="9"/>
        <v/>
      </c>
      <c r="G84" s="91">
        <v>10000</v>
      </c>
      <c r="H84" s="18" t="s">
        <v>335</v>
      </c>
    </row>
    <row r="85" spans="1:8" x14ac:dyDescent="0.2">
      <c r="A85" s="48"/>
      <c r="B85" s="3" t="s">
        <v>60</v>
      </c>
      <c r="C85" s="5">
        <f>384</f>
        <v>384</v>
      </c>
      <c r="D85" s="5">
        <f>400</f>
        <v>400</v>
      </c>
      <c r="E85" s="5">
        <f t="shared" si="8"/>
        <v>-16</v>
      </c>
      <c r="F85" s="46">
        <f t="shared" si="9"/>
        <v>0.96</v>
      </c>
      <c r="G85" s="59"/>
      <c r="H85" s="39" t="s">
        <v>308</v>
      </c>
    </row>
    <row r="86" spans="1:8" x14ac:dyDescent="0.2">
      <c r="A86" s="45"/>
      <c r="B86" s="3" t="s">
        <v>61</v>
      </c>
      <c r="C86" s="7">
        <f>(((((((((((C72)+(C73))+(C74))+(C77))+(C78))+(C79))+(C80))+(C81))+(C82))+(C83))+(C84))+(C85)</f>
        <v>74598.149999999994</v>
      </c>
      <c r="D86" s="7">
        <f>(((((((((((D72)+(D73))+(D74))+(D77))+(D78))+(D79))+(D80))+(D81))+(D82))+(D83))+(D84))+(D85)</f>
        <v>73100</v>
      </c>
      <c r="E86" s="7">
        <f t="shared" si="8"/>
        <v>1498.1499999999942</v>
      </c>
      <c r="F86" s="44">
        <f t="shared" si="9"/>
        <v>1.0204945280437756</v>
      </c>
      <c r="G86" s="57">
        <f>SUM(G73:G85)</f>
        <v>88550</v>
      </c>
    </row>
    <row r="87" spans="1:8" x14ac:dyDescent="0.2">
      <c r="A87" s="47"/>
      <c r="B87" s="3" t="s">
        <v>250</v>
      </c>
      <c r="C87" s="4"/>
      <c r="D87" s="4"/>
      <c r="E87" s="5"/>
      <c r="F87" s="46" t="str">
        <f t="shared" si="9"/>
        <v/>
      </c>
      <c r="G87" s="55"/>
    </row>
    <row r="88" spans="1:8" x14ac:dyDescent="0.2">
      <c r="A88" s="47"/>
      <c r="B88" s="3" t="s">
        <v>62</v>
      </c>
      <c r="C88" s="5">
        <f>10458</f>
        <v>10458</v>
      </c>
      <c r="D88" s="5">
        <f>10000</f>
        <v>10000</v>
      </c>
      <c r="E88" s="5">
        <f t="shared" si="8"/>
        <v>458</v>
      </c>
      <c r="F88" s="46">
        <f t="shared" si="9"/>
        <v>1.0458000000000001</v>
      </c>
      <c r="G88" s="55">
        <v>11500</v>
      </c>
      <c r="H88" s="70" t="s">
        <v>309</v>
      </c>
    </row>
    <row r="89" spans="1:8" x14ac:dyDescent="0.2">
      <c r="A89" s="52"/>
      <c r="B89" s="98" t="s">
        <v>249</v>
      </c>
      <c r="C89" s="5"/>
      <c r="D89" s="5"/>
      <c r="E89" s="5"/>
      <c r="F89" s="46"/>
      <c r="G89" s="60">
        <v>5000</v>
      </c>
      <c r="H89" s="39" t="s">
        <v>310</v>
      </c>
    </row>
    <row r="90" spans="1:8" x14ac:dyDescent="0.2">
      <c r="A90" s="51"/>
      <c r="B90" s="96" t="s">
        <v>63</v>
      </c>
      <c r="C90" s="4"/>
      <c r="D90" s="5">
        <f>1500</f>
        <v>1500</v>
      </c>
      <c r="E90" s="5">
        <f>(C90)-(D90)</f>
        <v>-1500</v>
      </c>
      <c r="F90" s="46">
        <f>IF(D90=0,"",(C90)/(D90))</f>
        <v>0</v>
      </c>
      <c r="G90" s="58" t="s">
        <v>243</v>
      </c>
    </row>
    <row r="91" spans="1:8" x14ac:dyDescent="0.2">
      <c r="A91" s="47"/>
      <c r="B91" s="3" t="s">
        <v>64</v>
      </c>
      <c r="C91" s="5">
        <f>14846.4</f>
        <v>14846.4</v>
      </c>
      <c r="D91" s="5">
        <f>37000</f>
        <v>37000</v>
      </c>
      <c r="E91" s="5">
        <f>(C91)-(D91)</f>
        <v>-22153.599999999999</v>
      </c>
      <c r="F91" s="46">
        <f>IF(D91=0,"",(C91)/(D91))</f>
        <v>0.40125405405405407</v>
      </c>
      <c r="G91" s="55">
        <v>33000</v>
      </c>
      <c r="H91" s="39" t="s">
        <v>105</v>
      </c>
    </row>
    <row r="92" spans="1:8" x14ac:dyDescent="0.2">
      <c r="A92" s="51"/>
      <c r="B92" s="96" t="s">
        <v>65</v>
      </c>
      <c r="C92" s="5"/>
      <c r="D92" s="5"/>
      <c r="E92" s="5"/>
      <c r="F92" s="46"/>
      <c r="G92" s="58" t="s">
        <v>243</v>
      </c>
      <c r="H92" s="39" t="s">
        <v>311</v>
      </c>
    </row>
    <row r="93" spans="1:8" x14ac:dyDescent="0.2">
      <c r="A93" s="47"/>
      <c r="B93" s="3" t="s">
        <v>66</v>
      </c>
      <c r="C93" s="5">
        <f>2496</f>
        <v>2496</v>
      </c>
      <c r="D93" s="5">
        <f>2000</f>
        <v>2000</v>
      </c>
      <c r="E93" s="5">
        <f>(C93)-(D93)</f>
        <v>496</v>
      </c>
      <c r="F93" s="46">
        <f>IF(D93=0,"",(C93)/(D93))</f>
        <v>1.248</v>
      </c>
      <c r="G93" s="55">
        <v>4360</v>
      </c>
      <c r="H93" s="39" t="s">
        <v>312</v>
      </c>
    </row>
    <row r="94" spans="1:8" x14ac:dyDescent="0.2">
      <c r="A94" s="47"/>
      <c r="B94" s="3" t="s">
        <v>67</v>
      </c>
      <c r="C94" s="4"/>
      <c r="D94" s="5">
        <f>1500</f>
        <v>1500</v>
      </c>
      <c r="E94" s="5">
        <f>(C94)-(D94)</f>
        <v>-1500</v>
      </c>
      <c r="F94" s="46">
        <f>IF(D94=0,"",(C94)/(D94))</f>
        <v>0</v>
      </c>
      <c r="G94" s="55">
        <v>1500</v>
      </c>
      <c r="H94" s="39" t="s">
        <v>133</v>
      </c>
    </row>
    <row r="95" spans="1:8" x14ac:dyDescent="0.2">
      <c r="A95" s="47"/>
      <c r="B95" s="3" t="s">
        <v>68</v>
      </c>
      <c r="C95" s="5">
        <f>315</f>
        <v>315</v>
      </c>
      <c r="D95" s="5">
        <f>420</f>
        <v>420</v>
      </c>
      <c r="E95" s="5">
        <f>(C95)-(D95)</f>
        <v>-105</v>
      </c>
      <c r="F95" s="46">
        <f>IF(D95=0,"",(C95)/(D95))</f>
        <v>0.75</v>
      </c>
      <c r="G95" s="55">
        <v>420</v>
      </c>
      <c r="H95" s="39" t="s">
        <v>323</v>
      </c>
    </row>
    <row r="96" spans="1:8" x14ac:dyDescent="0.2">
      <c r="A96" s="51"/>
      <c r="B96" s="96" t="s">
        <v>345</v>
      </c>
      <c r="C96" s="5"/>
      <c r="D96" s="5"/>
      <c r="E96" s="5"/>
      <c r="F96" s="46"/>
      <c r="G96" s="58" t="s">
        <v>243</v>
      </c>
      <c r="H96" s="39" t="s">
        <v>316</v>
      </c>
    </row>
    <row r="97" spans="1:10" x14ac:dyDescent="0.2">
      <c r="A97" s="50"/>
      <c r="B97" s="96" t="s">
        <v>248</v>
      </c>
      <c r="C97" s="5">
        <f>5000</f>
        <v>5000</v>
      </c>
      <c r="D97" s="5">
        <f>5054</f>
        <v>5054</v>
      </c>
      <c r="E97" s="5">
        <f t="shared" ref="E97:E102" si="10">(C97)-(D97)</f>
        <v>-54</v>
      </c>
      <c r="F97" s="46">
        <f t="shared" ref="F97:F102" si="11">IF(D97=0,"",(C97)/(D97))</f>
        <v>0.98931539374752675</v>
      </c>
      <c r="G97" s="56" t="s">
        <v>243</v>
      </c>
      <c r="H97" s="39" t="s">
        <v>313</v>
      </c>
    </row>
    <row r="98" spans="1:10" x14ac:dyDescent="0.2">
      <c r="A98" s="45"/>
      <c r="B98" s="3" t="s">
        <v>70</v>
      </c>
      <c r="C98" s="7">
        <f>(((((((C87)+(C88))+(C90))+(C91))+(C93))+(C94))+(C95))+(C97)</f>
        <v>33115.4</v>
      </c>
      <c r="D98" s="7">
        <f>(((((((D87)+(D88))+(D90))+(D91))+(D93))+(D94))+(D95))+(D97)</f>
        <v>57474</v>
      </c>
      <c r="E98" s="7">
        <f t="shared" si="10"/>
        <v>-24358.6</v>
      </c>
      <c r="F98" s="44">
        <f t="shared" si="11"/>
        <v>0.57618053380659084</v>
      </c>
      <c r="G98" s="57">
        <f>SUM(G88:G97)</f>
        <v>55780</v>
      </c>
    </row>
    <row r="99" spans="1:10" x14ac:dyDescent="0.2">
      <c r="A99" s="47"/>
      <c r="B99" s="3" t="s">
        <v>71</v>
      </c>
      <c r="C99" s="4"/>
      <c r="D99" s="4"/>
      <c r="E99" s="5"/>
      <c r="F99" s="46" t="str">
        <f t="shared" si="11"/>
        <v/>
      </c>
      <c r="G99" s="55"/>
    </row>
    <row r="100" spans="1:10" x14ac:dyDescent="0.2">
      <c r="A100" s="47"/>
      <c r="B100" s="3" t="s">
        <v>72</v>
      </c>
      <c r="C100" s="5">
        <f>59108.34</f>
        <v>59108.34</v>
      </c>
      <c r="D100" s="5">
        <f>64600</f>
        <v>64600</v>
      </c>
      <c r="E100" s="5">
        <f t="shared" si="10"/>
        <v>-5491.6600000000035</v>
      </c>
      <c r="F100" s="46">
        <f t="shared" si="11"/>
        <v>0.91498978328173364</v>
      </c>
      <c r="G100" s="55">
        <v>63070</v>
      </c>
    </row>
    <row r="101" spans="1:10" x14ac:dyDescent="0.2">
      <c r="A101" s="47"/>
      <c r="B101" s="3" t="s">
        <v>73</v>
      </c>
      <c r="C101" s="4"/>
      <c r="D101" s="5">
        <f>3250</f>
        <v>3250</v>
      </c>
      <c r="E101" s="5">
        <f t="shared" si="10"/>
        <v>-3250</v>
      </c>
      <c r="F101" s="46">
        <f t="shared" si="11"/>
        <v>0</v>
      </c>
      <c r="G101" s="55">
        <v>3250</v>
      </c>
    </row>
    <row r="102" spans="1:10" x14ac:dyDescent="0.2">
      <c r="A102" s="47"/>
      <c r="B102" s="3" t="s">
        <v>74</v>
      </c>
      <c r="C102" s="5">
        <f>72000</f>
        <v>72000</v>
      </c>
      <c r="D102" s="5">
        <f>72000</f>
        <v>72000</v>
      </c>
      <c r="E102" s="5">
        <f t="shared" si="10"/>
        <v>0</v>
      </c>
      <c r="F102" s="46">
        <f t="shared" si="11"/>
        <v>1</v>
      </c>
      <c r="G102" s="55">
        <v>72000</v>
      </c>
      <c r="H102" s="39" t="s">
        <v>314</v>
      </c>
    </row>
    <row r="103" spans="1:10" x14ac:dyDescent="0.2">
      <c r="A103" s="51"/>
      <c r="B103" s="96" t="s">
        <v>247</v>
      </c>
      <c r="C103" s="5"/>
      <c r="D103" s="5"/>
      <c r="E103" s="5"/>
      <c r="F103" s="46"/>
      <c r="G103" s="58" t="s">
        <v>243</v>
      </c>
      <c r="H103" s="39" t="s">
        <v>315</v>
      </c>
    </row>
    <row r="104" spans="1:10" x14ac:dyDescent="0.2">
      <c r="A104" s="47"/>
      <c r="B104" s="3" t="s">
        <v>75</v>
      </c>
      <c r="C104" s="4"/>
      <c r="D104" s="5">
        <f>3800</f>
        <v>3800</v>
      </c>
      <c r="E104" s="5">
        <f>(C104)-(D104)</f>
        <v>-3800</v>
      </c>
      <c r="F104" s="46">
        <f>IF(D104=0,"",(C104)/(D104))</f>
        <v>0</v>
      </c>
      <c r="G104" s="55">
        <v>2490</v>
      </c>
      <c r="H104" s="65" t="s">
        <v>152</v>
      </c>
      <c r="I104" s="65"/>
      <c r="J104" s="65"/>
    </row>
    <row r="105" spans="1:10" x14ac:dyDescent="0.2">
      <c r="A105" s="50"/>
      <c r="B105" s="96" t="s">
        <v>76</v>
      </c>
      <c r="C105" s="4"/>
      <c r="D105" s="5">
        <f>92</f>
        <v>92</v>
      </c>
      <c r="E105" s="5">
        <f>(C105)-(D105)</f>
        <v>-92</v>
      </c>
      <c r="F105" s="46">
        <f>IF(D105=0,"",(C105)/(D105))</f>
        <v>0</v>
      </c>
      <c r="G105" s="56" t="s">
        <v>243</v>
      </c>
      <c r="H105" s="39" t="s">
        <v>317</v>
      </c>
    </row>
    <row r="106" spans="1:10" x14ac:dyDescent="0.2">
      <c r="A106" s="45"/>
      <c r="B106" s="3" t="s">
        <v>77</v>
      </c>
      <c r="C106" s="7">
        <f>(((((C99)+(C100))+(C101))+(C102))+(C104))+(C105)</f>
        <v>131108.34</v>
      </c>
      <c r="D106" s="7">
        <f>(((((D99)+(D100))+(D101))+(D102))+(D104))+(D105)</f>
        <v>143742</v>
      </c>
      <c r="E106" s="7">
        <f>(C106)-(D106)</f>
        <v>-12633.660000000003</v>
      </c>
      <c r="F106" s="44">
        <f>IF(D106=0,"",(C106)/(D106))</f>
        <v>0.9121087782276579</v>
      </c>
      <c r="G106" s="57">
        <f>SUM(G100:G105)</f>
        <v>140810</v>
      </c>
    </row>
    <row r="107" spans="1:10" x14ac:dyDescent="0.2">
      <c r="A107" s="47"/>
      <c r="B107" s="3" t="s">
        <v>78</v>
      </c>
      <c r="C107" s="4"/>
      <c r="D107" s="4"/>
      <c r="E107" s="5"/>
      <c r="F107" s="46" t="str">
        <f>IF(D107=0,"",(C107)/(D107))</f>
        <v/>
      </c>
      <c r="G107" s="55"/>
    </row>
    <row r="108" spans="1:10" x14ac:dyDescent="0.2">
      <c r="A108" s="47"/>
      <c r="B108" s="3" t="s">
        <v>246</v>
      </c>
      <c r="C108" s="4"/>
      <c r="D108" s="4"/>
      <c r="E108" s="5"/>
      <c r="F108" s="46"/>
      <c r="G108" s="55">
        <v>100</v>
      </c>
    </row>
    <row r="109" spans="1:10" x14ac:dyDescent="0.2">
      <c r="A109" s="47"/>
      <c r="B109" s="3" t="s">
        <v>79</v>
      </c>
      <c r="C109" s="5">
        <f>1000</f>
        <v>1000</v>
      </c>
      <c r="D109" s="5">
        <f>1000</f>
        <v>1000</v>
      </c>
      <c r="E109" s="5">
        <f>(C109)-(D109)</f>
        <v>0</v>
      </c>
      <c r="F109" s="46">
        <f>IF(D109=0,"",(C109)/(D109))</f>
        <v>1</v>
      </c>
      <c r="G109" s="55">
        <v>1000</v>
      </c>
    </row>
    <row r="110" spans="1:10" x14ac:dyDescent="0.2">
      <c r="A110" s="47"/>
      <c r="B110" s="3" t="s">
        <v>80</v>
      </c>
      <c r="C110" s="5">
        <f>0</f>
        <v>0</v>
      </c>
      <c r="D110" s="4"/>
      <c r="E110" s="5">
        <f>(C110)-(D110)</f>
        <v>0</v>
      </c>
      <c r="F110" s="46" t="str">
        <f>IF(D110=0,"",(C110)/(D110))</f>
        <v/>
      </c>
      <c r="G110" s="55"/>
    </row>
    <row r="111" spans="1:10" x14ac:dyDescent="0.2">
      <c r="A111" s="48"/>
      <c r="B111" s="3" t="s">
        <v>245</v>
      </c>
      <c r="C111" s="5"/>
      <c r="D111" s="4"/>
      <c r="E111" s="5"/>
      <c r="F111" s="46"/>
      <c r="G111" s="88">
        <v>500</v>
      </c>
      <c r="H111" s="19" t="s">
        <v>331</v>
      </c>
      <c r="I111" s="72">
        <v>100</v>
      </c>
    </row>
    <row r="112" spans="1:10" x14ac:dyDescent="0.2">
      <c r="A112" s="45"/>
      <c r="B112" s="3" t="s">
        <v>81</v>
      </c>
      <c r="C112" s="7">
        <f>((C107)+(C109))+(C110)</f>
        <v>1000</v>
      </c>
      <c r="D112" s="7">
        <f>((D107)+(D109))+(D110)</f>
        <v>1000</v>
      </c>
      <c r="E112" s="7">
        <f t="shared" ref="E112:E121" si="12">(C112)-(D112)</f>
        <v>0</v>
      </c>
      <c r="F112" s="44">
        <f t="shared" ref="F112:F122" si="13">IF(D112=0,"",(C112)/(D112))</f>
        <v>1</v>
      </c>
      <c r="G112" s="57">
        <f>SUM(G108:G111)</f>
        <v>1600</v>
      </c>
    </row>
    <row r="113" spans="1:8" s="66" customFormat="1" x14ac:dyDescent="0.2">
      <c r="A113" s="78"/>
      <c r="B113" s="98" t="s">
        <v>324</v>
      </c>
      <c r="C113" s="21"/>
      <c r="D113" s="21"/>
      <c r="E113" s="21"/>
      <c r="F113" s="77"/>
      <c r="G113" s="55">
        <v>100</v>
      </c>
      <c r="H113" s="79"/>
    </row>
    <row r="114" spans="1:8" x14ac:dyDescent="0.2">
      <c r="A114" s="47"/>
      <c r="B114" s="49" t="s">
        <v>82</v>
      </c>
      <c r="C114" s="4"/>
      <c r="D114" s="4"/>
      <c r="E114" s="5"/>
      <c r="F114" s="46" t="str">
        <f t="shared" si="13"/>
        <v/>
      </c>
      <c r="G114" s="55"/>
    </row>
    <row r="115" spans="1:8" x14ac:dyDescent="0.2">
      <c r="A115" s="47"/>
      <c r="B115" s="49" t="s">
        <v>244</v>
      </c>
      <c r="C115" s="4"/>
      <c r="D115" s="5">
        <f>250</f>
        <v>250</v>
      </c>
      <c r="E115" s="5">
        <f t="shared" si="12"/>
        <v>-250</v>
      </c>
      <c r="F115" s="46">
        <f t="shared" si="13"/>
        <v>0</v>
      </c>
      <c r="G115" s="90">
        <v>100</v>
      </c>
      <c r="H115" s="89" t="s">
        <v>334</v>
      </c>
    </row>
    <row r="116" spans="1:8" x14ac:dyDescent="0.2">
      <c r="A116" s="50"/>
      <c r="B116" s="16"/>
      <c r="C116" s="4"/>
      <c r="D116" s="4"/>
      <c r="E116" s="5"/>
      <c r="F116" s="46" t="str">
        <f t="shared" si="13"/>
        <v/>
      </c>
      <c r="G116" s="56"/>
      <c r="H116" s="71"/>
    </row>
    <row r="117" spans="1:8" x14ac:dyDescent="0.2">
      <c r="A117" s="50"/>
      <c r="B117" s="16"/>
      <c r="C117" s="4"/>
      <c r="D117" s="4"/>
      <c r="E117" s="5"/>
      <c r="F117" s="46" t="str">
        <f t="shared" si="13"/>
        <v/>
      </c>
      <c r="G117" s="56"/>
      <c r="H117" s="79"/>
    </row>
    <row r="118" spans="1:8" x14ac:dyDescent="0.2">
      <c r="A118" s="50"/>
      <c r="B118" s="16"/>
      <c r="C118" s="5"/>
      <c r="D118" s="4"/>
      <c r="E118" s="5"/>
      <c r="F118" s="46" t="str">
        <f t="shared" si="13"/>
        <v/>
      </c>
      <c r="G118" s="56"/>
    </row>
    <row r="119" spans="1:8" x14ac:dyDescent="0.2">
      <c r="A119" s="50"/>
      <c r="B119" s="16"/>
      <c r="C119" s="7">
        <f>(C117)+(C118)</f>
        <v>0</v>
      </c>
      <c r="D119" s="7">
        <f>(D117)+(D118)</f>
        <v>0</v>
      </c>
      <c r="E119" s="7">
        <f t="shared" si="12"/>
        <v>0</v>
      </c>
      <c r="F119" s="44" t="str">
        <f t="shared" si="13"/>
        <v/>
      </c>
      <c r="G119" s="56"/>
    </row>
    <row r="120" spans="1:8" x14ac:dyDescent="0.2">
      <c r="A120" s="50"/>
      <c r="B120" s="16"/>
      <c r="C120" s="7">
        <f>(C116)+(C119)</f>
        <v>0</v>
      </c>
      <c r="D120" s="7">
        <f>(D116)+(D119)</f>
        <v>0</v>
      </c>
      <c r="E120" s="7">
        <f t="shared" si="12"/>
        <v>0</v>
      </c>
      <c r="F120" s="44" t="str">
        <f t="shared" si="13"/>
        <v/>
      </c>
      <c r="G120" s="56"/>
    </row>
    <row r="121" spans="1:8" x14ac:dyDescent="0.2">
      <c r="A121" s="45"/>
      <c r="B121" s="49" t="s">
        <v>88</v>
      </c>
      <c r="C121" s="7">
        <f>(C114)+(C120)</f>
        <v>0</v>
      </c>
      <c r="D121" s="7">
        <f>(D114)+(D120)</f>
        <v>0</v>
      </c>
      <c r="E121" s="7">
        <f t="shared" si="12"/>
        <v>0</v>
      </c>
      <c r="F121" s="44" t="str">
        <f t="shared" si="13"/>
        <v/>
      </c>
      <c r="G121" s="57">
        <f>SUM(G113:G118)</f>
        <v>200</v>
      </c>
    </row>
    <row r="122" spans="1:8" x14ac:dyDescent="0.2">
      <c r="A122" s="47"/>
      <c r="B122" s="3" t="s">
        <v>90</v>
      </c>
      <c r="C122" s="4"/>
      <c r="D122" s="4"/>
      <c r="E122" s="5"/>
      <c r="F122" s="46" t="str">
        <f t="shared" si="13"/>
        <v/>
      </c>
      <c r="G122" s="55"/>
    </row>
    <row r="123" spans="1:8" x14ac:dyDescent="0.2">
      <c r="A123" s="47"/>
      <c r="B123" s="98" t="s">
        <v>242</v>
      </c>
      <c r="C123" s="4"/>
      <c r="D123" s="4"/>
      <c r="E123" s="5"/>
      <c r="F123" s="46"/>
      <c r="G123" s="58">
        <v>100</v>
      </c>
      <c r="H123" s="73"/>
    </row>
    <row r="124" spans="1:8" x14ac:dyDescent="0.2">
      <c r="A124" s="80"/>
      <c r="B124" s="98" t="s">
        <v>326</v>
      </c>
      <c r="C124" s="4"/>
      <c r="D124" s="5"/>
      <c r="E124" s="5"/>
      <c r="F124" s="46"/>
      <c r="G124" s="55">
        <v>12500</v>
      </c>
      <c r="H124" s="74" t="s">
        <v>319</v>
      </c>
    </row>
    <row r="125" spans="1:8" x14ac:dyDescent="0.2">
      <c r="A125" s="47"/>
      <c r="B125" s="3" t="s">
        <v>241</v>
      </c>
      <c r="C125" s="4"/>
      <c r="D125" s="5">
        <f>5000</f>
        <v>5000</v>
      </c>
      <c r="E125" s="5">
        <f>(C125)-(D125)</f>
        <v>-5000</v>
      </c>
      <c r="F125" s="46">
        <f>IF(D125=0,"",(C125)/(D125))</f>
        <v>0</v>
      </c>
      <c r="G125" s="55">
        <v>5000</v>
      </c>
      <c r="H125" s="73"/>
    </row>
    <row r="126" spans="1:8" s="66" customFormat="1" x14ac:dyDescent="0.2">
      <c r="A126" s="51"/>
      <c r="B126" s="96" t="s">
        <v>325</v>
      </c>
      <c r="C126" s="4"/>
      <c r="D126" s="5"/>
      <c r="E126" s="5"/>
      <c r="F126" s="46"/>
      <c r="G126" s="58" t="s">
        <v>243</v>
      </c>
      <c r="H126" s="39" t="s">
        <v>318</v>
      </c>
    </row>
    <row r="127" spans="1:8" x14ac:dyDescent="0.2">
      <c r="A127" s="47"/>
      <c r="B127" s="3" t="s">
        <v>91</v>
      </c>
      <c r="C127" s="4"/>
      <c r="D127" s="5">
        <f>260</f>
        <v>260</v>
      </c>
      <c r="E127" s="5">
        <f>(C127)-(D127)</f>
        <v>-260</v>
      </c>
      <c r="F127" s="46">
        <f>IF(D127=0,"",(C127)/(D127))</f>
        <v>0</v>
      </c>
      <c r="G127" s="55">
        <v>0</v>
      </c>
      <c r="H127" s="74" t="s">
        <v>320</v>
      </c>
    </row>
    <row r="128" spans="1:8" x14ac:dyDescent="0.2">
      <c r="A128" s="47"/>
      <c r="B128" s="3" t="s">
        <v>240</v>
      </c>
      <c r="C128" s="4"/>
      <c r="D128" s="5"/>
      <c r="E128" s="5"/>
      <c r="F128" s="46"/>
      <c r="G128" s="55">
        <v>100</v>
      </c>
    </row>
    <row r="129" spans="1:9" x14ac:dyDescent="0.2">
      <c r="A129" s="48"/>
      <c r="B129" s="3" t="s">
        <v>92</v>
      </c>
      <c r="C129" s="5">
        <f>18961.37</f>
        <v>18961.37</v>
      </c>
      <c r="D129" s="5">
        <f>51820</f>
        <v>51820</v>
      </c>
      <c r="E129" s="5">
        <f t="shared" ref="E129:E134" si="14">(C129)-(D129)</f>
        <v>-32858.630000000005</v>
      </c>
      <c r="F129" s="46">
        <f t="shared" ref="F129:F134" si="15">IF(D129=0,"",(C129)/(D129))</f>
        <v>0.3659083365495947</v>
      </c>
      <c r="G129" s="59">
        <v>35000</v>
      </c>
      <c r="H129" s="74" t="s">
        <v>321</v>
      </c>
      <c r="I129" s="74"/>
    </row>
    <row r="130" spans="1:9" x14ac:dyDescent="0.2">
      <c r="A130" s="45"/>
      <c r="B130" s="3" t="s">
        <v>93</v>
      </c>
      <c r="C130" s="7">
        <f>(((C122)+(C125))+(C127))+(C129)</f>
        <v>18961.37</v>
      </c>
      <c r="D130" s="7">
        <f>(((D122)+(D125))+(D127))+(D129)</f>
        <v>57080</v>
      </c>
      <c r="E130" s="7">
        <f t="shared" si="14"/>
        <v>-38118.630000000005</v>
      </c>
      <c r="F130" s="44">
        <f t="shared" si="15"/>
        <v>0.33218938332165382</v>
      </c>
      <c r="G130" s="57">
        <f>SUM(G123:G129)</f>
        <v>52700</v>
      </c>
    </row>
    <row r="131" spans="1:9" x14ac:dyDescent="0.2">
      <c r="A131" s="47"/>
      <c r="B131" s="3" t="s">
        <v>94</v>
      </c>
      <c r="C131" s="4"/>
      <c r="D131" s="5">
        <f>2500</f>
        <v>2500</v>
      </c>
      <c r="E131" s="5">
        <f t="shared" si="14"/>
        <v>-2500</v>
      </c>
      <c r="F131" s="46">
        <f t="shared" si="15"/>
        <v>0</v>
      </c>
      <c r="G131" s="55"/>
      <c r="H131" s="39" t="s">
        <v>322</v>
      </c>
    </row>
    <row r="132" spans="1:9" x14ac:dyDescent="0.2">
      <c r="A132" s="57"/>
      <c r="B132" s="3" t="s">
        <v>95</v>
      </c>
      <c r="C132" s="7">
        <f>(((((((((((C49)+(C56))+(C62))+(C71))+(C86))+(C98))+(C106))+(C112))+(C121))+(C115))+(C130))+(C131)</f>
        <v>491627.76</v>
      </c>
      <c r="D132" s="7">
        <f>(((((((((((D49)+(D56))+(D62))+(D71))+(D86))+(D98))+(D106))+(D112))+(D121))+(D115))+(D130))+(D131)</f>
        <v>607571</v>
      </c>
      <c r="E132" s="7">
        <f t="shared" si="14"/>
        <v>-115943.23999999999</v>
      </c>
      <c r="F132" s="44">
        <f t="shared" si="15"/>
        <v>0.80916923289623766</v>
      </c>
      <c r="G132" s="57">
        <f>SUM(G49+G56+G62+G71+G86+G98+G106+G112+G121+G130)</f>
        <v>581865</v>
      </c>
    </row>
    <row r="133" spans="1:9" x14ac:dyDescent="0.2">
      <c r="A133" s="45"/>
      <c r="B133" s="3" t="s">
        <v>96</v>
      </c>
      <c r="C133" s="7">
        <f>(C31)-(C132)</f>
        <v>109816.35000000009</v>
      </c>
      <c r="D133" s="7">
        <f>(D31)-(D132)</f>
        <v>66421</v>
      </c>
      <c r="E133" s="7">
        <f t="shared" si="14"/>
        <v>43395.350000000093</v>
      </c>
      <c r="F133" s="44">
        <f t="shared" si="15"/>
        <v>1.6533377997922358</v>
      </c>
      <c r="G133" s="82">
        <f>SUM(G30-G132)</f>
        <v>12688</v>
      </c>
    </row>
    <row r="134" spans="1:9" x14ac:dyDescent="0.2">
      <c r="A134" s="45"/>
      <c r="B134" s="3" t="s">
        <v>97</v>
      </c>
      <c r="C134" s="7">
        <f>(C133)+(0)</f>
        <v>109816.35000000009</v>
      </c>
      <c r="D134" s="7">
        <f>(D133)+(0)</f>
        <v>66421</v>
      </c>
      <c r="E134" s="7">
        <f t="shared" si="14"/>
        <v>43395.350000000093</v>
      </c>
      <c r="F134" s="44">
        <f t="shared" si="15"/>
        <v>1.6533377997922358</v>
      </c>
      <c r="G134" s="82">
        <f>SUM(G31-G132)</f>
        <v>12688</v>
      </c>
    </row>
    <row r="135" spans="1:9" x14ac:dyDescent="0.2">
      <c r="B135" s="3"/>
      <c r="C135" s="4"/>
      <c r="D135" s="4"/>
      <c r="E135" s="4"/>
      <c r="F135" s="4"/>
    </row>
    <row r="138" spans="1:9" x14ac:dyDescent="0.2">
      <c r="B138" s="106" t="s">
        <v>239</v>
      </c>
      <c r="C138" s="107"/>
      <c r="D138" s="107"/>
      <c r="E138" s="107"/>
      <c r="F138" s="107"/>
    </row>
  </sheetData>
  <mergeCells count="5">
    <mergeCell ref="C5:F5"/>
    <mergeCell ref="B138:F138"/>
    <mergeCell ref="B1:F1"/>
    <mergeCell ref="B2:F2"/>
    <mergeCell ref="B3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EAF64-629B-4E20-80BD-5F887AA929BB}">
  <dimension ref="A1:C100"/>
  <sheetViews>
    <sheetView tabSelected="1" workbookViewId="0">
      <selection activeCell="F50" sqref="F50"/>
    </sheetView>
  </sheetViews>
  <sheetFormatPr baseColWidth="10" defaultColWidth="9.1640625" defaultRowHeight="15" x14ac:dyDescent="0.2"/>
  <cols>
    <col min="1" max="1" width="49.83203125" style="86" customWidth="1"/>
    <col min="2" max="2" width="31.83203125" style="86" customWidth="1"/>
    <col min="3" max="3" width="18.5" style="86" bestFit="1" customWidth="1"/>
    <col min="4" max="16384" width="9.1640625" style="86"/>
  </cols>
  <sheetData>
    <row r="1" spans="1:2" ht="18" x14ac:dyDescent="0.2">
      <c r="A1" s="116" t="s">
        <v>98</v>
      </c>
      <c r="B1" s="107"/>
    </row>
    <row r="2" spans="1:2" ht="18" x14ac:dyDescent="0.2">
      <c r="A2" s="117" t="s">
        <v>364</v>
      </c>
      <c r="B2" s="118"/>
    </row>
    <row r="3" spans="1:2" x14ac:dyDescent="0.2">
      <c r="A3" s="119" t="s">
        <v>363</v>
      </c>
      <c r="B3" s="107"/>
    </row>
    <row r="5" spans="1:2" x14ac:dyDescent="0.2">
      <c r="A5" s="87"/>
      <c r="B5" s="104" t="s">
        <v>274</v>
      </c>
    </row>
    <row r="6" spans="1:2" x14ac:dyDescent="0.2">
      <c r="A6" s="101" t="s">
        <v>1</v>
      </c>
      <c r="B6" s="100"/>
    </row>
    <row r="7" spans="1:2" x14ac:dyDescent="0.2">
      <c r="A7" s="101" t="s">
        <v>2</v>
      </c>
      <c r="B7" s="100"/>
    </row>
    <row r="8" spans="1:2" x14ac:dyDescent="0.2">
      <c r="A8" s="101" t="s">
        <v>3</v>
      </c>
      <c r="B8" s="103">
        <f>352000</f>
        <v>352000</v>
      </c>
    </row>
    <row r="9" spans="1:2" x14ac:dyDescent="0.2">
      <c r="A9" s="101" t="s">
        <v>4</v>
      </c>
      <c r="B9" s="103">
        <f>20750</f>
        <v>20750</v>
      </c>
    </row>
    <row r="10" spans="1:2" x14ac:dyDescent="0.2">
      <c r="A10" s="101" t="s">
        <v>362</v>
      </c>
      <c r="B10" s="103">
        <f>100000</f>
        <v>100000</v>
      </c>
    </row>
    <row r="11" spans="1:2" x14ac:dyDescent="0.2">
      <c r="A11" s="101" t="s">
        <v>361</v>
      </c>
      <c r="B11" s="103">
        <v>58503</v>
      </c>
    </row>
    <row r="12" spans="1:2" x14ac:dyDescent="0.2">
      <c r="A12" s="101" t="s">
        <v>7</v>
      </c>
      <c r="B12" s="102">
        <f>((((B7)+(B8))+(B9))+(B10))+(B11)</f>
        <v>531253</v>
      </c>
    </row>
    <row r="13" spans="1:2" x14ac:dyDescent="0.2">
      <c r="A13" s="101" t="s">
        <v>8</v>
      </c>
      <c r="B13" s="100"/>
    </row>
    <row r="14" spans="1:2" x14ac:dyDescent="0.2">
      <c r="A14" s="101" t="s">
        <v>337</v>
      </c>
      <c r="B14" s="103">
        <f>800</f>
        <v>800</v>
      </c>
    </row>
    <row r="15" spans="1:2" x14ac:dyDescent="0.2">
      <c r="A15" s="101" t="s">
        <v>268</v>
      </c>
      <c r="B15" s="103">
        <f>3500</f>
        <v>3500</v>
      </c>
    </row>
    <row r="16" spans="1:2" x14ac:dyDescent="0.2">
      <c r="A16" s="101" t="s">
        <v>10</v>
      </c>
      <c r="B16" s="102">
        <f>((B13)+(B14))+(B15)</f>
        <v>4300</v>
      </c>
    </row>
    <row r="17" spans="1:2" x14ac:dyDescent="0.2">
      <c r="A17" s="101" t="s">
        <v>11</v>
      </c>
      <c r="B17" s="100"/>
    </row>
    <row r="18" spans="1:2" x14ac:dyDescent="0.2">
      <c r="A18" s="101" t="s">
        <v>12</v>
      </c>
      <c r="B18" s="103">
        <f>19000</f>
        <v>19000</v>
      </c>
    </row>
    <row r="19" spans="1:2" x14ac:dyDescent="0.2">
      <c r="A19" s="101" t="s">
        <v>13</v>
      </c>
      <c r="B19" s="102">
        <f>(B17)+(B18)</f>
        <v>19000</v>
      </c>
    </row>
    <row r="20" spans="1:2" x14ac:dyDescent="0.2">
      <c r="A20" s="101" t="s">
        <v>14</v>
      </c>
      <c r="B20" s="100"/>
    </row>
    <row r="21" spans="1:2" x14ac:dyDescent="0.2">
      <c r="A21" s="101" t="s">
        <v>266</v>
      </c>
      <c r="B21" s="103">
        <f>37000</f>
        <v>37000</v>
      </c>
    </row>
    <row r="22" spans="1:2" x14ac:dyDescent="0.2">
      <c r="A22" s="101" t="s">
        <v>16</v>
      </c>
      <c r="B22" s="102">
        <f>(B20)+(B21)</f>
        <v>37000</v>
      </c>
    </row>
    <row r="23" spans="1:2" x14ac:dyDescent="0.2">
      <c r="A23" s="101" t="s">
        <v>265</v>
      </c>
      <c r="B23" s="103">
        <f>3000</f>
        <v>3000</v>
      </c>
    </row>
    <row r="24" spans="1:2" x14ac:dyDescent="0.2">
      <c r="A24" s="101" t="s">
        <v>18</v>
      </c>
      <c r="B24" s="102">
        <f>((((B12)+(B16))+(B19))+(B22))+(B23)</f>
        <v>594553</v>
      </c>
    </row>
    <row r="25" spans="1:2" x14ac:dyDescent="0.2">
      <c r="A25" s="101" t="s">
        <v>19</v>
      </c>
      <c r="B25" s="102">
        <f>(B24)-(0)</f>
        <v>594553</v>
      </c>
    </row>
    <row r="26" spans="1:2" x14ac:dyDescent="0.2">
      <c r="A26" s="101" t="s">
        <v>20</v>
      </c>
      <c r="B26" s="100"/>
    </row>
    <row r="27" spans="1:2" x14ac:dyDescent="0.2">
      <c r="A27" s="101" t="s">
        <v>21</v>
      </c>
      <c r="B27" s="100"/>
    </row>
    <row r="28" spans="1:2" x14ac:dyDescent="0.2">
      <c r="A28" s="101" t="s">
        <v>22</v>
      </c>
      <c r="B28" s="103">
        <f>66000</f>
        <v>66000</v>
      </c>
    </row>
    <row r="29" spans="1:2" x14ac:dyDescent="0.2">
      <c r="A29" s="101" t="s">
        <v>23</v>
      </c>
      <c r="B29" s="103">
        <f>5000</f>
        <v>5000</v>
      </c>
    </row>
    <row r="30" spans="1:2" x14ac:dyDescent="0.2">
      <c r="A30" s="101" t="s">
        <v>24</v>
      </c>
      <c r="B30" s="103">
        <f>10000</f>
        <v>10000</v>
      </c>
    </row>
    <row r="31" spans="1:2" x14ac:dyDescent="0.2">
      <c r="A31" s="101" t="s">
        <v>25</v>
      </c>
      <c r="B31" s="103">
        <f>4125</f>
        <v>4125</v>
      </c>
    </row>
    <row r="32" spans="1:2" x14ac:dyDescent="0.2">
      <c r="A32" s="101" t="s">
        <v>26</v>
      </c>
      <c r="B32" s="103">
        <f>5000</f>
        <v>5000</v>
      </c>
    </row>
    <row r="33" spans="1:2" x14ac:dyDescent="0.2">
      <c r="A33" s="101" t="s">
        <v>32</v>
      </c>
      <c r="B33" s="103">
        <f>4500</f>
        <v>4500</v>
      </c>
    </row>
    <row r="34" spans="1:2" x14ac:dyDescent="0.2">
      <c r="A34" s="101" t="s">
        <v>33</v>
      </c>
      <c r="B34" s="103">
        <f>13500</f>
        <v>13500</v>
      </c>
    </row>
    <row r="35" spans="1:2" x14ac:dyDescent="0.2">
      <c r="A35" s="101" t="s">
        <v>34</v>
      </c>
      <c r="B35" s="103">
        <f>5000</f>
        <v>5000</v>
      </c>
    </row>
    <row r="36" spans="1:2" x14ac:dyDescent="0.2">
      <c r="A36" s="101" t="s">
        <v>36</v>
      </c>
      <c r="B36" s="102">
        <f>((((((((B27)+(B28))+(B29))+(B30))+(B31))+(B32))+(B33))+(B34))+(B35)</f>
        <v>113125</v>
      </c>
    </row>
    <row r="37" spans="1:2" x14ac:dyDescent="0.2">
      <c r="A37" s="101" t="s">
        <v>37</v>
      </c>
      <c r="B37" s="100"/>
    </row>
    <row r="38" spans="1:2" x14ac:dyDescent="0.2">
      <c r="A38" s="101" t="s">
        <v>360</v>
      </c>
      <c r="B38" s="103">
        <f>100</f>
        <v>100</v>
      </c>
    </row>
    <row r="39" spans="1:2" x14ac:dyDescent="0.2">
      <c r="A39" s="101" t="s">
        <v>38</v>
      </c>
      <c r="B39" s="103">
        <f>100</f>
        <v>100</v>
      </c>
    </row>
    <row r="40" spans="1:2" x14ac:dyDescent="0.2">
      <c r="A40" s="101" t="s">
        <v>359</v>
      </c>
      <c r="B40" s="103">
        <f>100</f>
        <v>100</v>
      </c>
    </row>
    <row r="41" spans="1:2" x14ac:dyDescent="0.2">
      <c r="A41" s="101" t="s">
        <v>39</v>
      </c>
      <c r="B41" s="102">
        <f>(((B37)+(B38))+(B39))+(B40)</f>
        <v>300</v>
      </c>
    </row>
    <row r="42" spans="1:2" x14ac:dyDescent="0.2">
      <c r="A42" s="101" t="s">
        <v>40</v>
      </c>
      <c r="B42" s="100"/>
    </row>
    <row r="43" spans="1:2" x14ac:dyDescent="0.2">
      <c r="A43" s="101" t="s">
        <v>41</v>
      </c>
      <c r="B43" s="103">
        <f>96000</f>
        <v>96000</v>
      </c>
    </row>
    <row r="44" spans="1:2" x14ac:dyDescent="0.2">
      <c r="A44" s="101" t="s">
        <v>42</v>
      </c>
      <c r="B44" s="103">
        <f>1200</f>
        <v>1200</v>
      </c>
    </row>
    <row r="45" spans="1:2" x14ac:dyDescent="0.2">
      <c r="A45" s="101" t="s">
        <v>43</v>
      </c>
      <c r="B45" s="103">
        <f>100</f>
        <v>100</v>
      </c>
    </row>
    <row r="46" spans="1:2" x14ac:dyDescent="0.2">
      <c r="A46" s="101" t="s">
        <v>358</v>
      </c>
      <c r="B46" s="103">
        <f>100</f>
        <v>100</v>
      </c>
    </row>
    <row r="47" spans="1:2" x14ac:dyDescent="0.2">
      <c r="A47" s="101" t="s">
        <v>44</v>
      </c>
      <c r="B47" s="102">
        <f>((((B42)+(B43))+(B44))+(B45))+(B46)</f>
        <v>97400</v>
      </c>
    </row>
    <row r="48" spans="1:2" x14ac:dyDescent="0.2">
      <c r="A48" s="101" t="s">
        <v>45</v>
      </c>
      <c r="B48" s="100"/>
    </row>
    <row r="49" spans="1:3" x14ac:dyDescent="0.2">
      <c r="A49" s="101" t="s">
        <v>357</v>
      </c>
      <c r="B49" s="103">
        <f>2900</f>
        <v>2900</v>
      </c>
      <c r="C49" s="105" t="s">
        <v>365</v>
      </c>
    </row>
    <row r="50" spans="1:3" x14ac:dyDescent="0.2">
      <c r="A50" s="101" t="s">
        <v>356</v>
      </c>
      <c r="B50" s="103">
        <f>1000</f>
        <v>1000</v>
      </c>
      <c r="C50" s="105" t="s">
        <v>365</v>
      </c>
    </row>
    <row r="51" spans="1:3" x14ac:dyDescent="0.2">
      <c r="A51" s="101" t="s">
        <v>355</v>
      </c>
      <c r="B51" s="103">
        <f>21500</f>
        <v>21500</v>
      </c>
      <c r="C51" s="105" t="s">
        <v>365</v>
      </c>
    </row>
    <row r="52" spans="1:3" x14ac:dyDescent="0.2">
      <c r="A52" s="101" t="s">
        <v>354</v>
      </c>
      <c r="B52" s="103">
        <f>4000</f>
        <v>4000</v>
      </c>
      <c r="C52" s="105" t="s">
        <v>365</v>
      </c>
    </row>
    <row r="53" spans="1:3" x14ac:dyDescent="0.2">
      <c r="A53" s="101" t="s">
        <v>353</v>
      </c>
      <c r="B53" s="103">
        <f>500</f>
        <v>500</v>
      </c>
      <c r="C53" s="105" t="s">
        <v>365</v>
      </c>
    </row>
    <row r="54" spans="1:3" x14ac:dyDescent="0.2">
      <c r="A54" s="101" t="s">
        <v>352</v>
      </c>
      <c r="B54" s="103">
        <f>1000</f>
        <v>1000</v>
      </c>
      <c r="C54" s="105" t="s">
        <v>365</v>
      </c>
    </row>
    <row r="55" spans="1:3" x14ac:dyDescent="0.2">
      <c r="A55" s="101" t="s">
        <v>351</v>
      </c>
      <c r="B55" s="103">
        <f>500</f>
        <v>500</v>
      </c>
      <c r="C55" s="105" t="s">
        <v>365</v>
      </c>
    </row>
    <row r="56" spans="1:3" x14ac:dyDescent="0.2">
      <c r="A56" s="101" t="s">
        <v>49</v>
      </c>
      <c r="B56" s="102">
        <f>(((((((B48)+(B49))+(B50))+(B51))+(B52))+(B53))+(B54))+(B55)</f>
        <v>31400</v>
      </c>
    </row>
    <row r="57" spans="1:3" x14ac:dyDescent="0.2">
      <c r="A57" s="101" t="s">
        <v>50</v>
      </c>
      <c r="B57" s="100"/>
    </row>
    <row r="58" spans="1:3" x14ac:dyDescent="0.2">
      <c r="A58" s="101" t="s">
        <v>51</v>
      </c>
      <c r="B58" s="103">
        <f>100</f>
        <v>100</v>
      </c>
    </row>
    <row r="59" spans="1:3" x14ac:dyDescent="0.2">
      <c r="A59" s="101" t="s">
        <v>209</v>
      </c>
      <c r="B59" s="103">
        <f>7500</f>
        <v>7500</v>
      </c>
    </row>
    <row r="60" spans="1:3" x14ac:dyDescent="0.2">
      <c r="A60" s="101" t="s">
        <v>340</v>
      </c>
      <c r="B60" s="103">
        <f>41300</f>
        <v>41300</v>
      </c>
    </row>
    <row r="61" spans="1:3" x14ac:dyDescent="0.2">
      <c r="A61" s="101" t="s">
        <v>350</v>
      </c>
      <c r="B61" s="103">
        <f>29650</f>
        <v>29650</v>
      </c>
    </row>
    <row r="62" spans="1:3" x14ac:dyDescent="0.2">
      <c r="A62" s="101" t="s">
        <v>59</v>
      </c>
      <c r="B62" s="103">
        <f>10000</f>
        <v>10000</v>
      </c>
    </row>
    <row r="63" spans="1:3" x14ac:dyDescent="0.2">
      <c r="A63" s="101" t="s">
        <v>61</v>
      </c>
      <c r="B63" s="102">
        <f>(((((B57)+(B58))+(B59))+(B60))+(B61))+(B62)</f>
        <v>88550</v>
      </c>
    </row>
    <row r="64" spans="1:3" x14ac:dyDescent="0.2">
      <c r="A64" s="101" t="s">
        <v>250</v>
      </c>
      <c r="B64" s="100"/>
    </row>
    <row r="65" spans="1:2" x14ac:dyDescent="0.2">
      <c r="A65" s="101" t="s">
        <v>62</v>
      </c>
      <c r="B65" s="103">
        <f>11500</f>
        <v>11500</v>
      </c>
    </row>
    <row r="66" spans="1:2" x14ac:dyDescent="0.2">
      <c r="A66" s="101" t="s">
        <v>249</v>
      </c>
      <c r="B66" s="103">
        <f>5000</f>
        <v>5000</v>
      </c>
    </row>
    <row r="67" spans="1:2" x14ac:dyDescent="0.2">
      <c r="A67" s="101" t="s">
        <v>64</v>
      </c>
      <c r="B67" s="103">
        <f>33000</f>
        <v>33000</v>
      </c>
    </row>
    <row r="68" spans="1:2" x14ac:dyDescent="0.2">
      <c r="A68" s="101" t="s">
        <v>66</v>
      </c>
      <c r="B68" s="103">
        <f>4360</f>
        <v>4360</v>
      </c>
    </row>
    <row r="69" spans="1:2" x14ac:dyDescent="0.2">
      <c r="A69" s="101" t="s">
        <v>67</v>
      </c>
      <c r="B69" s="103">
        <f>1500</f>
        <v>1500</v>
      </c>
    </row>
    <row r="70" spans="1:2" x14ac:dyDescent="0.2">
      <c r="A70" s="101" t="s">
        <v>68</v>
      </c>
      <c r="B70" s="103">
        <f>420</f>
        <v>420</v>
      </c>
    </row>
    <row r="71" spans="1:2" x14ac:dyDescent="0.2">
      <c r="A71" s="101" t="s">
        <v>70</v>
      </c>
      <c r="B71" s="102">
        <f>((((((B64)+(B65))+(B66))+(B67))+(B68))+(B69))+(B70)</f>
        <v>55780</v>
      </c>
    </row>
    <row r="72" spans="1:2" x14ac:dyDescent="0.2">
      <c r="A72" s="101" t="s">
        <v>71</v>
      </c>
      <c r="B72" s="100"/>
    </row>
    <row r="73" spans="1:2" x14ac:dyDescent="0.2">
      <c r="A73" s="101" t="s">
        <v>72</v>
      </c>
      <c r="B73" s="103">
        <f>63070</f>
        <v>63070</v>
      </c>
    </row>
    <row r="74" spans="1:2" x14ac:dyDescent="0.2">
      <c r="A74" s="101" t="s">
        <v>73</v>
      </c>
      <c r="B74" s="103">
        <f>3250</f>
        <v>3250</v>
      </c>
    </row>
    <row r="75" spans="1:2" x14ac:dyDescent="0.2">
      <c r="A75" s="101" t="s">
        <v>74</v>
      </c>
      <c r="B75" s="103">
        <f>72000</f>
        <v>72000</v>
      </c>
    </row>
    <row r="76" spans="1:2" x14ac:dyDescent="0.2">
      <c r="A76" s="101" t="s">
        <v>75</v>
      </c>
      <c r="B76" s="103">
        <f>2490</f>
        <v>2490</v>
      </c>
    </row>
    <row r="77" spans="1:2" x14ac:dyDescent="0.2">
      <c r="A77" s="101" t="s">
        <v>77</v>
      </c>
      <c r="B77" s="102">
        <f>((((B72)+(B73))+(B74))+(B75))+(B76)</f>
        <v>140810</v>
      </c>
    </row>
    <row r="78" spans="1:2" x14ac:dyDescent="0.2">
      <c r="A78" s="101" t="s">
        <v>78</v>
      </c>
      <c r="B78" s="100"/>
    </row>
    <row r="79" spans="1:2" x14ac:dyDescent="0.2">
      <c r="A79" s="101" t="s">
        <v>246</v>
      </c>
      <c r="B79" s="103">
        <f>100</f>
        <v>100</v>
      </c>
    </row>
    <row r="80" spans="1:2" x14ac:dyDescent="0.2">
      <c r="A80" s="101" t="s">
        <v>79</v>
      </c>
      <c r="B80" s="103">
        <f>1000</f>
        <v>1000</v>
      </c>
    </row>
    <row r="81" spans="1:2" x14ac:dyDescent="0.2">
      <c r="A81" s="101" t="s">
        <v>245</v>
      </c>
      <c r="B81" s="103">
        <f>500</f>
        <v>500</v>
      </c>
    </row>
    <row r="82" spans="1:2" x14ac:dyDescent="0.2">
      <c r="A82" s="101" t="s">
        <v>81</v>
      </c>
      <c r="B82" s="102">
        <f>(((B78)+(B79))+(B80))+(B81)</f>
        <v>1600</v>
      </c>
    </row>
    <row r="83" spans="1:2" x14ac:dyDescent="0.2">
      <c r="A83" s="101" t="s">
        <v>349</v>
      </c>
      <c r="B83" s="103">
        <f>100</f>
        <v>100</v>
      </c>
    </row>
    <row r="84" spans="1:2" x14ac:dyDescent="0.2">
      <c r="A84" s="101" t="s">
        <v>82</v>
      </c>
      <c r="B84" s="100"/>
    </row>
    <row r="85" spans="1:2" x14ac:dyDescent="0.2">
      <c r="A85" s="101" t="s">
        <v>348</v>
      </c>
      <c r="B85" s="103">
        <f>100</f>
        <v>100</v>
      </c>
    </row>
    <row r="86" spans="1:2" x14ac:dyDescent="0.2">
      <c r="A86" s="101" t="s">
        <v>88</v>
      </c>
      <c r="B86" s="102">
        <f>(B84)+(B85)</f>
        <v>100</v>
      </c>
    </row>
    <row r="87" spans="1:2" x14ac:dyDescent="0.2">
      <c r="A87" s="101" t="s">
        <v>90</v>
      </c>
      <c r="B87" s="100"/>
    </row>
    <row r="88" spans="1:2" x14ac:dyDescent="0.2">
      <c r="A88" s="101" t="s">
        <v>347</v>
      </c>
      <c r="B88" s="103">
        <f>100</f>
        <v>100</v>
      </c>
    </row>
    <row r="89" spans="1:2" x14ac:dyDescent="0.2">
      <c r="A89" s="101" t="s">
        <v>326</v>
      </c>
      <c r="B89" s="103">
        <f>12500</f>
        <v>12500</v>
      </c>
    </row>
    <row r="90" spans="1:2" x14ac:dyDescent="0.2">
      <c r="A90" s="101" t="s">
        <v>241</v>
      </c>
      <c r="B90" s="103">
        <f>5000</f>
        <v>5000</v>
      </c>
    </row>
    <row r="91" spans="1:2" x14ac:dyDescent="0.2">
      <c r="A91" s="101" t="s">
        <v>240</v>
      </c>
      <c r="B91" s="103">
        <f>100</f>
        <v>100</v>
      </c>
    </row>
    <row r="92" spans="1:2" x14ac:dyDescent="0.2">
      <c r="A92" s="101" t="s">
        <v>92</v>
      </c>
      <c r="B92" s="103">
        <f>35000</f>
        <v>35000</v>
      </c>
    </row>
    <row r="93" spans="1:2" x14ac:dyDescent="0.2">
      <c r="A93" s="101" t="s">
        <v>93</v>
      </c>
      <c r="B93" s="102">
        <f>(((((B87)+(B88))+(B89))+(B90))+(B91))+(B92)</f>
        <v>52700</v>
      </c>
    </row>
    <row r="94" spans="1:2" x14ac:dyDescent="0.2">
      <c r="A94" s="101" t="s">
        <v>95</v>
      </c>
      <c r="B94" s="102">
        <f>((((((((((B36)+(B41))+(B47))+(B56))+(B63))+(B71))+(B77))+(B82))+(B83))+(B86))+(B93)</f>
        <v>581865</v>
      </c>
    </row>
    <row r="95" spans="1:2" x14ac:dyDescent="0.2">
      <c r="A95" s="101" t="s">
        <v>96</v>
      </c>
      <c r="B95" s="102">
        <f>(B25)-(B94)</f>
        <v>12688</v>
      </c>
    </row>
    <row r="96" spans="1:2" x14ac:dyDescent="0.2">
      <c r="A96" s="101" t="s">
        <v>97</v>
      </c>
      <c r="B96" s="102">
        <f>(B95)+(0)</f>
        <v>12688</v>
      </c>
    </row>
    <row r="97" spans="1:2" x14ac:dyDescent="0.2">
      <c r="A97" s="101"/>
      <c r="B97" s="100"/>
    </row>
    <row r="100" spans="1:2" x14ac:dyDescent="0.2">
      <c r="A100" s="115" t="s">
        <v>346</v>
      </c>
      <c r="B100" s="107"/>
    </row>
  </sheetData>
  <mergeCells count="4">
    <mergeCell ref="A100:B100"/>
    <mergeCell ref="A1:B1"/>
    <mergeCell ref="A2:B2"/>
    <mergeCell ref="A3:B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1ST BUDGET DRAFT</vt:lpstr>
      <vt:lpstr>FINAL DRAFT W NOTES</vt:lpstr>
      <vt:lpstr>CLEAN 2021 DRAFT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sgeorge@stefangeorge.com</cp:lastModifiedBy>
  <cp:lastPrinted>2020-11-16T22:56:32Z</cp:lastPrinted>
  <dcterms:created xsi:type="dcterms:W3CDTF">2020-10-26T23:58:37Z</dcterms:created>
  <dcterms:modified xsi:type="dcterms:W3CDTF">2020-12-14T21:17:12Z</dcterms:modified>
</cp:coreProperties>
</file>