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A - California\Monthly Financials\2020\November\"/>
    </mc:Choice>
  </mc:AlternateContent>
  <xr:revisionPtr revIDLastSave="0" documentId="8_{4DC117DD-24A2-429D-BBC0-7EFBE3B9CD94}" xr6:coauthVersionLast="45" xr6:coauthVersionMax="45" xr10:uidLastSave="{00000000-0000-0000-0000-000000000000}"/>
  <bookViews>
    <workbookView xWindow="17070" yWindow="2160" windowWidth="20085" windowHeight="11385" xr2:uid="{00000000-000D-0000-FFFF-FFFF00000000}"/>
  </bookViews>
  <sheets>
    <sheet name="Budget vs. Actu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9" i="1" l="1"/>
  <c r="E109" i="1" s="1"/>
  <c r="C107" i="1"/>
  <c r="E107" i="1" s="1"/>
  <c r="B107" i="1"/>
  <c r="C106" i="1"/>
  <c r="D106" i="1" s="1"/>
  <c r="C105" i="1"/>
  <c r="E105" i="1" s="1"/>
  <c r="E104" i="1"/>
  <c r="D104" i="1"/>
  <c r="C102" i="1"/>
  <c r="E102" i="1" s="1"/>
  <c r="E101" i="1"/>
  <c r="C101" i="1"/>
  <c r="B101" i="1"/>
  <c r="D101" i="1" s="1"/>
  <c r="E100" i="1"/>
  <c r="D100" i="1"/>
  <c r="B100" i="1"/>
  <c r="E99" i="1"/>
  <c r="D99" i="1"/>
  <c r="E98" i="1"/>
  <c r="D98" i="1"/>
  <c r="C97" i="1"/>
  <c r="D97" i="1" s="1"/>
  <c r="E96" i="1"/>
  <c r="D96" i="1"/>
  <c r="C95" i="1"/>
  <c r="E94" i="1"/>
  <c r="B94" i="1"/>
  <c r="D94" i="1" s="1"/>
  <c r="C93" i="1"/>
  <c r="E93" i="1" s="1"/>
  <c r="B93" i="1"/>
  <c r="B95" i="1" s="1"/>
  <c r="D95" i="1" s="1"/>
  <c r="E92" i="1"/>
  <c r="D92" i="1"/>
  <c r="C90" i="1"/>
  <c r="E90" i="1" s="1"/>
  <c r="C89" i="1"/>
  <c r="E89" i="1" s="1"/>
  <c r="E88" i="1"/>
  <c r="C88" i="1"/>
  <c r="B88" i="1"/>
  <c r="D88" i="1" s="1"/>
  <c r="E87" i="1"/>
  <c r="C87" i="1"/>
  <c r="D87" i="1" s="1"/>
  <c r="C86" i="1"/>
  <c r="B86" i="1"/>
  <c r="B91" i="1" s="1"/>
  <c r="E85" i="1"/>
  <c r="D85" i="1"/>
  <c r="C83" i="1"/>
  <c r="E83" i="1" s="1"/>
  <c r="B83" i="1"/>
  <c r="C82" i="1"/>
  <c r="E82" i="1" s="1"/>
  <c r="B82" i="1"/>
  <c r="D82" i="1" s="1"/>
  <c r="C81" i="1"/>
  <c r="E81" i="1" s="1"/>
  <c r="E80" i="1"/>
  <c r="C80" i="1"/>
  <c r="B80" i="1"/>
  <c r="D80" i="1" s="1"/>
  <c r="E79" i="1"/>
  <c r="C79" i="1"/>
  <c r="B79" i="1"/>
  <c r="D79" i="1" s="1"/>
  <c r="E78" i="1"/>
  <c r="C78" i="1"/>
  <c r="D78" i="1" s="1"/>
  <c r="C77" i="1"/>
  <c r="B77" i="1"/>
  <c r="E76" i="1"/>
  <c r="D76" i="1"/>
  <c r="C74" i="1"/>
  <c r="E74" i="1" s="1"/>
  <c r="B74" i="1"/>
  <c r="E73" i="1"/>
  <c r="B73" i="1"/>
  <c r="D73" i="1" s="1"/>
  <c r="C72" i="1"/>
  <c r="E72" i="1" s="1"/>
  <c r="B72" i="1"/>
  <c r="D72" i="1" s="1"/>
  <c r="C71" i="1"/>
  <c r="E71" i="1" s="1"/>
  <c r="B71" i="1"/>
  <c r="D71" i="1" s="1"/>
  <c r="C70" i="1"/>
  <c r="E70" i="1" s="1"/>
  <c r="B70" i="1"/>
  <c r="D70" i="1" s="1"/>
  <c r="C69" i="1"/>
  <c r="E69" i="1" s="1"/>
  <c r="B69" i="1"/>
  <c r="D69" i="1" s="1"/>
  <c r="C68" i="1"/>
  <c r="E68" i="1" s="1"/>
  <c r="B68" i="1"/>
  <c r="D68" i="1" s="1"/>
  <c r="C67" i="1"/>
  <c r="E67" i="1" s="1"/>
  <c r="B67" i="1"/>
  <c r="D67" i="1" s="1"/>
  <c r="C66" i="1"/>
  <c r="E66" i="1" s="1"/>
  <c r="E65" i="1"/>
  <c r="B65" i="1"/>
  <c r="C64" i="1"/>
  <c r="B64" i="1"/>
  <c r="C63" i="1"/>
  <c r="E63" i="1" s="1"/>
  <c r="E62" i="1"/>
  <c r="D62" i="1"/>
  <c r="C60" i="1"/>
  <c r="C59" i="1"/>
  <c r="B59" i="1"/>
  <c r="E58" i="1"/>
  <c r="B58" i="1"/>
  <c r="C57" i="1"/>
  <c r="E57" i="1" s="1"/>
  <c r="E56" i="1"/>
  <c r="D56" i="1"/>
  <c r="C54" i="1"/>
  <c r="B54" i="1"/>
  <c r="C53" i="1"/>
  <c r="E53" i="1" s="1"/>
  <c r="B53" i="1"/>
  <c r="C52" i="1"/>
  <c r="B52" i="1"/>
  <c r="E51" i="1"/>
  <c r="D51" i="1"/>
  <c r="E49" i="1"/>
  <c r="D49" i="1"/>
  <c r="C49" i="1"/>
  <c r="C50" i="1" s="1"/>
  <c r="B49" i="1"/>
  <c r="B50" i="1" s="1"/>
  <c r="E48" i="1"/>
  <c r="D48" i="1"/>
  <c r="C46" i="1"/>
  <c r="B46" i="1"/>
  <c r="C45" i="1"/>
  <c r="B45" i="1"/>
  <c r="C44" i="1"/>
  <c r="B44" i="1"/>
  <c r="C43" i="1"/>
  <c r="B43" i="1"/>
  <c r="C42" i="1"/>
  <c r="B42" i="1"/>
  <c r="C41" i="1"/>
  <c r="E40" i="1"/>
  <c r="C40" i="1"/>
  <c r="B40" i="1"/>
  <c r="D40" i="1" s="1"/>
  <c r="C39" i="1"/>
  <c r="E39" i="1" s="1"/>
  <c r="B39" i="1"/>
  <c r="C38" i="1"/>
  <c r="B38" i="1"/>
  <c r="D38" i="1" s="1"/>
  <c r="D37" i="1"/>
  <c r="C37" i="1"/>
  <c r="B37" i="1"/>
  <c r="C36" i="1"/>
  <c r="B36" i="1"/>
  <c r="C35" i="1"/>
  <c r="C34" i="1"/>
  <c r="E34" i="1" s="1"/>
  <c r="E33" i="1"/>
  <c r="C33" i="1"/>
  <c r="B33" i="1"/>
  <c r="E32" i="1"/>
  <c r="D32" i="1"/>
  <c r="E28" i="1"/>
  <c r="B28" i="1"/>
  <c r="E27" i="1"/>
  <c r="D27" i="1"/>
  <c r="B27" i="1"/>
  <c r="C25" i="1"/>
  <c r="E25" i="1" s="1"/>
  <c r="B25" i="1"/>
  <c r="D25" i="1" s="1"/>
  <c r="C24" i="1"/>
  <c r="D24" i="1" s="1"/>
  <c r="E23" i="1"/>
  <c r="D23" i="1"/>
  <c r="C21" i="1"/>
  <c r="B21" i="1"/>
  <c r="C20" i="1"/>
  <c r="B20" i="1"/>
  <c r="D20" i="1" s="1"/>
  <c r="E19" i="1"/>
  <c r="D19" i="1"/>
  <c r="C17" i="1"/>
  <c r="C18" i="1" s="1"/>
  <c r="B17" i="1"/>
  <c r="B18" i="1" s="1"/>
  <c r="E16" i="1"/>
  <c r="D16" i="1"/>
  <c r="C14" i="1"/>
  <c r="E14" i="1" s="1"/>
  <c r="C13" i="1"/>
  <c r="D13" i="1" s="1"/>
  <c r="C12" i="1"/>
  <c r="B12" i="1"/>
  <c r="D12" i="1" s="1"/>
  <c r="D11" i="1"/>
  <c r="C11" i="1"/>
  <c r="B11" i="1"/>
  <c r="C10" i="1"/>
  <c r="D10" i="1" s="1"/>
  <c r="B10" i="1"/>
  <c r="C9" i="1"/>
  <c r="B9" i="1"/>
  <c r="B15" i="1" s="1"/>
  <c r="E8" i="1"/>
  <c r="D8" i="1"/>
  <c r="E95" i="1" l="1"/>
  <c r="E20" i="1"/>
  <c r="E45" i="1"/>
  <c r="C61" i="1"/>
  <c r="D9" i="1"/>
  <c r="B47" i="1"/>
  <c r="D34" i="1"/>
  <c r="E52" i="1"/>
  <c r="E54" i="1"/>
  <c r="D57" i="1"/>
  <c r="E64" i="1"/>
  <c r="D66" i="1"/>
  <c r="D81" i="1"/>
  <c r="D89" i="1"/>
  <c r="D93" i="1"/>
  <c r="E97" i="1"/>
  <c r="D105" i="1"/>
  <c r="E106" i="1"/>
  <c r="C108" i="1"/>
  <c r="E13" i="1"/>
  <c r="D17" i="1"/>
  <c r="E43" i="1"/>
  <c r="C103" i="1"/>
  <c r="D14" i="1"/>
  <c r="E21" i="1"/>
  <c r="E24" i="1"/>
  <c r="D39" i="1"/>
  <c r="E42" i="1"/>
  <c r="E44" i="1"/>
  <c r="E46" i="1"/>
  <c r="E59" i="1"/>
  <c r="D74" i="1"/>
  <c r="D83" i="1"/>
  <c r="D107" i="1"/>
  <c r="D18" i="1"/>
  <c r="E18" i="1"/>
  <c r="B22" i="1"/>
  <c r="E41" i="1"/>
  <c r="D41" i="1"/>
  <c r="C47" i="1"/>
  <c r="E9" i="1"/>
  <c r="E10" i="1"/>
  <c r="E11" i="1"/>
  <c r="E12" i="1"/>
  <c r="C15" i="1"/>
  <c r="E17" i="1"/>
  <c r="C22" i="1"/>
  <c r="B26" i="1"/>
  <c r="D28" i="1"/>
  <c r="D35" i="1"/>
  <c r="D36" i="1"/>
  <c r="E37" i="1"/>
  <c r="D50" i="1"/>
  <c r="D52" i="1"/>
  <c r="D53" i="1"/>
  <c r="D54" i="1"/>
  <c r="B55" i="1"/>
  <c r="B61" i="1"/>
  <c r="D58" i="1"/>
  <c r="D59" i="1"/>
  <c r="E60" i="1"/>
  <c r="D60" i="1"/>
  <c r="D64" i="1"/>
  <c r="B75" i="1"/>
  <c r="E86" i="1"/>
  <c r="C91" i="1"/>
  <c r="D86" i="1"/>
  <c r="C84" i="1"/>
  <c r="E77" i="1"/>
  <c r="D77" i="1"/>
  <c r="D15" i="1"/>
  <c r="D21" i="1"/>
  <c r="C26" i="1"/>
  <c r="E35" i="1"/>
  <c r="E36" i="1"/>
  <c r="E50" i="1"/>
  <c r="C55" i="1"/>
  <c r="D65" i="1"/>
  <c r="D33" i="1"/>
  <c r="E38" i="1"/>
  <c r="D42" i="1"/>
  <c r="D43" i="1"/>
  <c r="D44" i="1"/>
  <c r="D45" i="1"/>
  <c r="D46" i="1"/>
  <c r="D91" i="1"/>
  <c r="B84" i="1"/>
  <c r="B102" i="1"/>
  <c r="B108" i="1"/>
  <c r="D63" i="1"/>
  <c r="C75" i="1"/>
  <c r="D90" i="1"/>
  <c r="D109" i="1"/>
  <c r="D75" i="1" l="1"/>
  <c r="D22" i="1"/>
  <c r="E75" i="1"/>
  <c r="D26" i="1"/>
  <c r="E47" i="1"/>
  <c r="C110" i="1"/>
  <c r="D102" i="1"/>
  <c r="B103" i="1"/>
  <c r="E26" i="1"/>
  <c r="E84" i="1"/>
  <c r="E91" i="1"/>
  <c r="D61" i="1"/>
  <c r="D108" i="1"/>
  <c r="E108" i="1"/>
  <c r="D84" i="1"/>
  <c r="E55" i="1"/>
  <c r="E61" i="1"/>
  <c r="D55" i="1"/>
  <c r="E22" i="1"/>
  <c r="E15" i="1"/>
  <c r="C29" i="1"/>
  <c r="D47" i="1"/>
  <c r="B29" i="1"/>
  <c r="B30" i="1" l="1"/>
  <c r="D29" i="1"/>
  <c r="C30" i="1"/>
  <c r="E29" i="1"/>
  <c r="D103" i="1"/>
  <c r="E103" i="1"/>
  <c r="B110" i="1"/>
  <c r="E110" i="1" s="1"/>
  <c r="C111" i="1" l="1"/>
  <c r="E30" i="1"/>
  <c r="D110" i="1"/>
  <c r="D30" i="1"/>
  <c r="B111" i="1"/>
  <c r="E111" i="1" l="1"/>
  <c r="C112" i="1"/>
  <c r="D111" i="1"/>
  <c r="B112" i="1"/>
  <c r="E112" i="1" l="1"/>
  <c r="D112" i="1"/>
</calcChain>
</file>

<file path=xl/sharedStrings.xml><?xml version="1.0" encoding="utf-8"?>
<sst xmlns="http://schemas.openxmlformats.org/spreadsheetml/2006/main" count="119" uniqueCount="119">
  <si>
    <t>Chapter</t>
  </si>
  <si>
    <t>Actual</t>
  </si>
  <si>
    <t>Budget</t>
  </si>
  <si>
    <t>over Budget</t>
  </si>
  <si>
    <t>% of Budget</t>
  </si>
  <si>
    <t>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</si>
  <si>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</si>
  <si>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</si>
  <si>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</si>
  <si>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 Current 2021</t>
  </si>
  <si>
    <t xml:space="preserve">      4126 Conference Profit - 2020 Budgeted for Programs</t>
  </si>
  <si>
    <t xml:space="preserve">      4127 Pre-Conference Session Profit</t>
  </si>
  <si>
    <t xml:space="preserve">      4128 Extra Conference Profit 2016 for Allocation (deleted)</t>
  </si>
  <si>
    <t xml:space="preserve">   Total 4100 Dues &amp; Conference</t>
  </si>
  <si>
    <t xml:space="preserve">   4200 Administrative Income</t>
  </si>
  <si>
    <t xml:space="preserve">      4205 Extra Award Income</t>
  </si>
  <si>
    <t xml:space="preserve">   Total 4200 Administrative Income</t>
  </si>
  <si>
    <t xml:space="preserve">   4400 Professional Development Income</t>
  </si>
  <si>
    <t xml:space="preserve">      4405 AICP Publications (deleted)</t>
  </si>
  <si>
    <t xml:space="preserve">      4410 Webcast/Workshop Income</t>
  </si>
  <si>
    <t xml:space="preserve">   Total 4400 Professional Development Income</t>
  </si>
  <si>
    <t xml:space="preserve">   4500 Public Information Income</t>
  </si>
  <si>
    <t xml:space="preserve">      4510 News - Ads (deleted-1)</t>
  </si>
  <si>
    <t xml:space="preserve">      4520 Web Ads &amp; Newsletter Subscriptions</t>
  </si>
  <si>
    <t xml:space="preserve">   Total 4500 Public Information Income</t>
  </si>
  <si>
    <t xml:space="preserve">   4700 Annual Chapter Sponsorships</t>
  </si>
  <si>
    <t xml:space="preserve">   9200 Federal Tax Return (deleted)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</si>
  <si>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</si>
  <si>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</si>
  <si>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</si>
  <si>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</si>
  <si>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</si>
  <si>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</si>
  <si>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</si>
  <si>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</si>
  <si>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</si>
  <si>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5140 Telephone/Fax (deleted)</t>
  </si>
  <si>
    <t xml:space="preserve">      5145 Office Supplies (deleted)</t>
  </si>
  <si>
    <t xml:space="preserve">      5150 Postage (deleted)</t>
  </si>
  <si>
    <t xml:space="preserve">      5155 Dues &amp; Subscriptions (deleted)</t>
  </si>
  <si>
    <t xml:space="preserve">      5170 Storage (deleted)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</si>
  <si>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</si>
  <si>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</si>
  <si>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</si>
  <si>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 (deleted)</t>
  </si>
  <si>
    <t xml:space="preserve">   Total 5100 Operations Expense</t>
  </si>
  <si>
    <t xml:space="preserve">   5200 President Expense</t>
  </si>
  <si>
    <t xml:space="preserve">      5220 President-Elect/Past President</t>
  </si>
  <si>
    <t xml:space="preserve">   Total 5200 President Expense</t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</si>
  <si>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</si>
  <si>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</si>
  <si>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</si>
  <si>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</si>
  <si>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Total 5300 Policy &amp; Legislation</t>
  </si>
  <si>
    <t xml:space="preserve">   5400 Professional Development</t>
  </si>
  <si>
    <t xml:space="preserve">      5402 Website Online Management (Francine)</t>
  </si>
  <si>
    <t xml:space="preserve">      5405 AICP Exam Chapter Scholar</t>
  </si>
  <si>
    <t xml:space="preserve">      5415 Statewide Webinars/Workshops</t>
  </si>
  <si>
    <t xml:space="preserve">      5420 AICP Exam Training/Preparation</t>
  </si>
  <si>
    <t xml:space="preserve">   Total 5400 Professional Development</t>
  </si>
  <si>
    <t xml:space="preserve">   5500 Public Information Expense</t>
  </si>
  <si>
    <t xml:space="preserve">      5505 V.P. for Public Information Exp</t>
  </si>
  <si>
    <t xml:space="preserve">      5510 Advertising &amp; Directory Maintenance - NHE</t>
  </si>
  <si>
    <t xml:space="preserve">      5515 News Distributions - ATEGO</t>
  </si>
  <si>
    <t xml:space="preserve">      5516 Newsletter</t>
  </si>
  <si>
    <t xml:space="preserve">      5520 Website &amp; Social Media</t>
  </si>
  <si>
    <t xml:space="preserve">      5521 News Production - Proofreader</t>
  </si>
  <si>
    <t xml:space="preserve">      5525 News Management - NHE</t>
  </si>
  <si>
    <t xml:space="preserve">      5530 Awards Program - Website Update</t>
  </si>
  <si>
    <t xml:space="preserve">      5535 Webmaster - ATEGO</t>
  </si>
  <si>
    <t xml:space="preserve">      5540 Website Hosting/Support</t>
  </si>
  <si>
    <t xml:space="preserve">      5545 Website Redesign</t>
  </si>
  <si>
    <t xml:space="preserve">      5555 Other Public Information</t>
  </si>
  <si>
    <t xml:space="preserve">   Total 5500 Public Information Expense</t>
  </si>
  <si>
    <t xml:space="preserve">   5600 Administrative</t>
  </si>
  <si>
    <t xml:space="preserve">      5610 Awards</t>
  </si>
  <si>
    <t xml:space="preserve">      5615 Extra Award Expense (deleted)</t>
  </si>
  <si>
    <t xml:space="preserve">      5620 Bookkeeping/Accounting/Tax Services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</si>
  <si>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</si>
  <si>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</si>
  <si>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</si>
  <si>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   5669 Future Expenditures (deleted)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</si>
  <si>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</si>
  <si>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</si>
  <si>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</si>
  <si>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</si>
  <si>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</si>
  <si>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5725 Section Chapter-Only Rebate</t>
  </si>
  <si>
    <t xml:space="preserve">      5730 Section Grants &amp; Projects/Extra 2016 Conf Profits (deleted)</t>
  </si>
  <si>
    <t xml:space="preserve">   Total 5700 Section Subventions</t>
  </si>
  <si>
    <t xml:space="preserve">   5900 Other Expenses</t>
  </si>
  <si>
    <t xml:space="preserve">      5915 CSUN Archives</t>
  </si>
  <si>
    <t xml:space="preserve">      5920 Miscellaneous Expense</t>
  </si>
  <si>
    <t xml:space="preserve">   Total 5900 Other Expenses</t>
  </si>
  <si>
    <t xml:space="preserve">   6200 Conferences</t>
  </si>
  <si>
    <t xml:space="preserve">      6205 VP Conference Expense</t>
  </si>
  <si>
    <t xml:space="preserve">      6480 Social Media</t>
  </si>
  <si>
    <t xml:space="preserve">         6481 Website</t>
  </si>
  <si>
    <t xml:space="preserve">            6481.1 Hosting</t>
  </si>
  <si>
    <t xml:space="preserve">         Total 6481 Website</t>
  </si>
  <si>
    <t xml:space="preserve">      Total 6480 Social Media</t>
  </si>
  <si>
    <t xml:space="preserve">   Total 6200 Conferences</t>
  </si>
  <si>
    <t xml:space="preserve">   6300 Marketing &amp; Membership</t>
  </si>
  <si>
    <t xml:space="preserve">      6310 VP Diversity &amp; Equity</t>
  </si>
  <si>
    <t xml:space="preserve">      6320 Great Places</t>
  </si>
  <si>
    <t xml:space="preserve">      6335 Membership Programs</t>
  </si>
  <si>
    <t xml:space="preserve">   Total 6300 Marketing &amp; Membership</t>
  </si>
  <si>
    <t xml:space="preserve">   6439 Pre-Conference Session Expenses</t>
  </si>
  <si>
    <t>Total Expenses</t>
  </si>
  <si>
    <t>Net Operating Income</t>
  </si>
  <si>
    <t>Net Income</t>
  </si>
  <si>
    <t>Tuesday, Dec 15, 2020 02:47:10 PM GMT-8 - Cash Basis</t>
  </si>
  <si>
    <t>American Planning Assoc. California Chapter</t>
  </si>
  <si>
    <t>Budget vs. Actuals: Chapter 2020 (REVISED) - FY20 P&amp;L  Classes</t>
  </si>
  <si>
    <t>January - November, 2020</t>
  </si>
  <si>
    <t>Actual Taxes due</t>
  </si>
  <si>
    <t>Additional shipping of awards</t>
  </si>
  <si>
    <t>Digisl Gear</t>
  </si>
  <si>
    <t>additional enews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</si>
</sst>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6"/>
  <sheetViews>
    <sheetView tabSelected="1" topLeftCell="A16" workbookViewId="0">
      <selection activeCell="I11" sqref="I11"/>
    </sheetView>
  </sheetViews>
  <sheetFormatPr defaultRowHeight="15" x14ac:dyDescent="0.25"/>
  <cols>
    <col min="1" max="1" width="61" customWidth="1"/>
    <col min="2" max="5" width="12" customWidth="1"/>
  </cols>
  <sheetData>
    <row r="1" spans="1:5" ht="18" x14ac:dyDescent="0.25">
      <c r="A1" s="14" t="s">
        <v>112</v>
      </c>
      <c r="B1" s="13"/>
      <c r="C1" s="13"/>
      <c r="D1" s="13"/>
      <c r="E1" s="13"/>
    </row>
    <row r="2" spans="1:5" ht="18" x14ac:dyDescent="0.25">
      <c r="A2" s="14" t="s">
        <v>113</v>
      </c>
      <c r="B2" s="13"/>
      <c r="C2" s="13"/>
      <c r="D2" s="13"/>
      <c r="E2" s="13"/>
    </row>
    <row r="3" spans="1:5" x14ac:dyDescent="0.25">
      <c r="A3" s="15" t="s">
        <v>114</v>
      </c>
      <c r="B3" s="13"/>
      <c r="C3" s="13"/>
      <c r="D3" s="13"/>
      <c r="E3" s="13"/>
    </row>
    <row r="5" spans="1:5" x14ac:dyDescent="0.25">
      <c r="A5" s="1"/>
      <c r="B5" s="11" t="s">
        <v>0</v>
      </c>
      <c r="C5" s="16"/>
      <c r="D5" s="16"/>
      <c r="E5" s="16"/>
    </row>
    <row r="6" spans="1:5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30" si="0">(B8)-(C8)</f>
        <v>0</v>
      </c>
      <c r="E8" s="6" t="str">
        <f t="shared" ref="E8:E30" si="1">IF(C8=0,"",(B8)/(C8))</f>
        <v/>
      </c>
    </row>
    <row r="9" spans="1:5" x14ac:dyDescent="0.25">
      <c r="A9" s="3" t="s">
        <v>7</v>
      </c>
      <c r="B9" s="5">
        <f>370593.27</f>
        <v>370593.27</v>
      </c>
      <c r="C9" s="5">
        <f>380000</f>
        <v>380000</v>
      </c>
      <c r="D9" s="5">
        <f t="shared" si="0"/>
        <v>-9406.7299999999814</v>
      </c>
      <c r="E9" s="6">
        <f t="shared" si="1"/>
        <v>0.97524544736842111</v>
      </c>
    </row>
    <row r="10" spans="1:5" x14ac:dyDescent="0.25">
      <c r="A10" s="3" t="s">
        <v>8</v>
      </c>
      <c r="B10" s="5">
        <f>15765</f>
        <v>15765</v>
      </c>
      <c r="C10" s="5">
        <f>22000</f>
        <v>22000</v>
      </c>
      <c r="D10" s="5">
        <f t="shared" si="0"/>
        <v>-6235</v>
      </c>
      <c r="E10" s="6">
        <f t="shared" si="1"/>
        <v>0.71659090909090906</v>
      </c>
    </row>
    <row r="11" spans="1:5" x14ac:dyDescent="0.25">
      <c r="A11" s="3" t="s">
        <v>9</v>
      </c>
      <c r="B11" s="5">
        <f>120000</f>
        <v>120000</v>
      </c>
      <c r="C11" s="5">
        <f>120000</f>
        <v>120000</v>
      </c>
      <c r="D11" s="5">
        <f t="shared" si="0"/>
        <v>0</v>
      </c>
      <c r="E11" s="6">
        <f t="shared" si="1"/>
        <v>1</v>
      </c>
    </row>
    <row r="12" spans="1:5" x14ac:dyDescent="0.25">
      <c r="A12" s="3" t="s">
        <v>10</v>
      </c>
      <c r="B12" s="5">
        <f>54206.78</f>
        <v>54206.78</v>
      </c>
      <c r="C12" s="5">
        <f>54242</f>
        <v>54242</v>
      </c>
      <c r="D12" s="5">
        <f t="shared" si="0"/>
        <v>-35.220000000001164</v>
      </c>
      <c r="E12" s="6">
        <f t="shared" si="1"/>
        <v>0.99935068765900958</v>
      </c>
    </row>
    <row r="13" spans="1:5" x14ac:dyDescent="0.25">
      <c r="A13" s="3" t="s">
        <v>11</v>
      </c>
      <c r="B13" s="4"/>
      <c r="C13" s="5">
        <f>3000</f>
        <v>3000</v>
      </c>
      <c r="D13" s="5">
        <f t="shared" si="0"/>
        <v>-3000</v>
      </c>
      <c r="E13" s="6">
        <f t="shared" si="1"/>
        <v>0</v>
      </c>
    </row>
    <row r="14" spans="1:5" x14ac:dyDescent="0.25">
      <c r="A14" s="3" t="s">
        <v>12</v>
      </c>
      <c r="B14" s="4"/>
      <c r="C14" s="5">
        <f>28100</f>
        <v>28100</v>
      </c>
      <c r="D14" s="5">
        <f t="shared" si="0"/>
        <v>-28100</v>
      </c>
      <c r="E14" s="6">
        <f t="shared" si="1"/>
        <v>0</v>
      </c>
    </row>
    <row r="15" spans="1:5" x14ac:dyDescent="0.25">
      <c r="A15" s="3" t="s">
        <v>13</v>
      </c>
      <c r="B15" s="7">
        <f>((((((B8)+(B9))+(B10))+(B11))+(B12))+(B13))+(B14)</f>
        <v>560565.05000000005</v>
      </c>
      <c r="C15" s="7">
        <f>((((((C8)+(C9))+(C10))+(C11))+(C12))+(C13))+(C14)</f>
        <v>607342</v>
      </c>
      <c r="D15" s="7">
        <f t="shared" si="0"/>
        <v>-46776.949999999953</v>
      </c>
      <c r="E15" s="8">
        <f t="shared" si="1"/>
        <v>0.92298087403802154</v>
      </c>
    </row>
    <row r="16" spans="1:5" x14ac:dyDescent="0.25">
      <c r="A16" s="3" t="s">
        <v>14</v>
      </c>
      <c r="B16" s="4"/>
      <c r="C16" s="4"/>
      <c r="D16" s="5">
        <f t="shared" si="0"/>
        <v>0</v>
      </c>
      <c r="E16" s="6" t="str">
        <f t="shared" si="1"/>
        <v/>
      </c>
    </row>
    <row r="17" spans="1:5" x14ac:dyDescent="0.25">
      <c r="A17" s="3" t="s">
        <v>15</v>
      </c>
      <c r="B17" s="5">
        <f>-125</f>
        <v>-125</v>
      </c>
      <c r="C17" s="5">
        <f>500</f>
        <v>500</v>
      </c>
      <c r="D17" s="5">
        <f t="shared" si="0"/>
        <v>-625</v>
      </c>
      <c r="E17" s="6">
        <f t="shared" si="1"/>
        <v>-0.25</v>
      </c>
    </row>
    <row r="18" spans="1:5" x14ac:dyDescent="0.25">
      <c r="A18" s="3" t="s">
        <v>16</v>
      </c>
      <c r="B18" s="7">
        <f>(B16)+(B17)</f>
        <v>-125</v>
      </c>
      <c r="C18" s="7">
        <f>(C16)+(C17)</f>
        <v>500</v>
      </c>
      <c r="D18" s="7">
        <f t="shared" si="0"/>
        <v>-625</v>
      </c>
      <c r="E18" s="8">
        <f t="shared" si="1"/>
        <v>-0.25</v>
      </c>
    </row>
    <row r="19" spans="1:5" x14ac:dyDescent="0.25">
      <c r="A19" s="3" t="s">
        <v>17</v>
      </c>
      <c r="B19" s="4"/>
      <c r="C19" s="4"/>
      <c r="D19" s="5">
        <f t="shared" si="0"/>
        <v>0</v>
      </c>
      <c r="E19" s="6" t="str">
        <f t="shared" si="1"/>
        <v/>
      </c>
    </row>
    <row r="20" spans="1:5" x14ac:dyDescent="0.25">
      <c r="A20" s="3" t="s">
        <v>18</v>
      </c>
      <c r="B20" s="5">
        <f>950</f>
        <v>950</v>
      </c>
      <c r="C20" s="5">
        <f>150</f>
        <v>150</v>
      </c>
      <c r="D20" s="5">
        <f t="shared" si="0"/>
        <v>800</v>
      </c>
      <c r="E20" s="6">
        <f t="shared" si="1"/>
        <v>6.333333333333333</v>
      </c>
    </row>
    <row r="21" spans="1:5" x14ac:dyDescent="0.25">
      <c r="A21" s="3" t="s">
        <v>19</v>
      </c>
      <c r="B21" s="5">
        <f>4140</f>
        <v>4140</v>
      </c>
      <c r="C21" s="5">
        <f>6000</f>
        <v>6000</v>
      </c>
      <c r="D21" s="5">
        <f t="shared" si="0"/>
        <v>-1860</v>
      </c>
      <c r="E21" s="6">
        <f t="shared" si="1"/>
        <v>0.69</v>
      </c>
    </row>
    <row r="22" spans="1:5" x14ac:dyDescent="0.25">
      <c r="A22" s="3" t="s">
        <v>20</v>
      </c>
      <c r="B22" s="7">
        <f>((B19)+(B20))+(B21)</f>
        <v>5090</v>
      </c>
      <c r="C22" s="7">
        <f>((C19)+(C20))+(C21)</f>
        <v>6150</v>
      </c>
      <c r="D22" s="7">
        <f t="shared" si="0"/>
        <v>-1060</v>
      </c>
      <c r="E22" s="8">
        <f t="shared" si="1"/>
        <v>0.82764227642276422</v>
      </c>
    </row>
    <row r="23" spans="1:5" x14ac:dyDescent="0.25">
      <c r="A23" s="3" t="s">
        <v>21</v>
      </c>
      <c r="B23" s="4"/>
      <c r="C23" s="4"/>
      <c r="D23" s="5">
        <f t="shared" si="0"/>
        <v>0</v>
      </c>
      <c r="E23" s="6" t="str">
        <f t="shared" si="1"/>
        <v/>
      </c>
    </row>
    <row r="24" spans="1:5" x14ac:dyDescent="0.25">
      <c r="A24" s="3" t="s">
        <v>22</v>
      </c>
      <c r="B24" s="4"/>
      <c r="C24" s="5">
        <f>2000</f>
        <v>2000</v>
      </c>
      <c r="D24" s="5">
        <f t="shared" si="0"/>
        <v>-2000</v>
      </c>
      <c r="E24" s="6">
        <f t="shared" si="1"/>
        <v>0</v>
      </c>
    </row>
    <row r="25" spans="1:5" x14ac:dyDescent="0.25">
      <c r="A25" s="3" t="s">
        <v>23</v>
      </c>
      <c r="B25" s="5">
        <f>33905</f>
        <v>33905</v>
      </c>
      <c r="C25" s="5">
        <f>58000</f>
        <v>58000</v>
      </c>
      <c r="D25" s="5">
        <f t="shared" si="0"/>
        <v>-24095</v>
      </c>
      <c r="E25" s="6">
        <f t="shared" si="1"/>
        <v>0.58456896551724136</v>
      </c>
    </row>
    <row r="26" spans="1:5" x14ac:dyDescent="0.25">
      <c r="A26" s="3" t="s">
        <v>24</v>
      </c>
      <c r="B26" s="7">
        <f>((B23)+(B24))+(B25)</f>
        <v>33905</v>
      </c>
      <c r="C26" s="7">
        <f>((C23)+(C24))+(C25)</f>
        <v>60000</v>
      </c>
      <c r="D26" s="7">
        <f t="shared" si="0"/>
        <v>-26095</v>
      </c>
      <c r="E26" s="8">
        <f t="shared" si="1"/>
        <v>0.56508333333333338</v>
      </c>
    </row>
    <row r="27" spans="1:5" x14ac:dyDescent="0.25">
      <c r="A27" s="3" t="s">
        <v>25</v>
      </c>
      <c r="B27" s="5">
        <f>6000</f>
        <v>6000</v>
      </c>
      <c r="C27" s="4"/>
      <c r="D27" s="5">
        <f t="shared" si="0"/>
        <v>6000</v>
      </c>
      <c r="E27" s="6" t="str">
        <f t="shared" si="1"/>
        <v/>
      </c>
    </row>
    <row r="28" spans="1:5" x14ac:dyDescent="0.25">
      <c r="A28" s="3" t="s">
        <v>26</v>
      </c>
      <c r="B28" s="5">
        <f>14.06</f>
        <v>14.06</v>
      </c>
      <c r="C28" s="4"/>
      <c r="D28" s="5">
        <f t="shared" si="0"/>
        <v>14.06</v>
      </c>
      <c r="E28" s="6" t="str">
        <f t="shared" si="1"/>
        <v/>
      </c>
    </row>
    <row r="29" spans="1:5" x14ac:dyDescent="0.25">
      <c r="A29" s="3" t="s">
        <v>27</v>
      </c>
      <c r="B29" s="7">
        <f>(((((B15)+(B18))+(B22))+(B26))+(B27))+(B28)</f>
        <v>605449.1100000001</v>
      </c>
      <c r="C29" s="7">
        <f>(((((C15)+(C18))+(C22))+(C26))+(C27))+(C28)</f>
        <v>673992</v>
      </c>
      <c r="D29" s="7">
        <f t="shared" si="0"/>
        <v>-68542.889999999898</v>
      </c>
      <c r="E29" s="8">
        <f t="shared" si="1"/>
        <v>0.89830311042267574</v>
      </c>
    </row>
    <row r="30" spans="1:5" x14ac:dyDescent="0.25">
      <c r="A30" s="3" t="s">
        <v>28</v>
      </c>
      <c r="B30" s="7">
        <f>(B29)-(0)</f>
        <v>605449.1100000001</v>
      </c>
      <c r="C30" s="7">
        <f>(C29)-(0)</f>
        <v>673992</v>
      </c>
      <c r="D30" s="7">
        <f t="shared" si="0"/>
        <v>-68542.889999999898</v>
      </c>
      <c r="E30" s="8">
        <f t="shared" si="1"/>
        <v>0.89830311042267574</v>
      </c>
    </row>
    <row r="31" spans="1:5" x14ac:dyDescent="0.25">
      <c r="A31" s="3" t="s">
        <v>29</v>
      </c>
      <c r="B31" s="4"/>
      <c r="C31" s="4"/>
      <c r="D31" s="4"/>
      <c r="E31" s="4"/>
    </row>
    <row r="32" spans="1:5" x14ac:dyDescent="0.25">
      <c r="A32" s="3" t="s">
        <v>30</v>
      </c>
      <c r="B32" s="4"/>
      <c r="C32" s="4"/>
      <c r="D32" s="5">
        <f t="shared" ref="D32:D63" si="2">(B32)-(C32)</f>
        <v>0</v>
      </c>
      <c r="E32" s="6" t="str">
        <f t="shared" ref="E32:E63" si="3">IF(C32=0,"",(B32)/(C32))</f>
        <v/>
      </c>
    </row>
    <row r="33" spans="1:5" x14ac:dyDescent="0.25">
      <c r="A33" s="3" t="s">
        <v>31</v>
      </c>
      <c r="B33" s="5">
        <f>60500</f>
        <v>60500</v>
      </c>
      <c r="C33" s="5">
        <f>66000</f>
        <v>66000</v>
      </c>
      <c r="D33" s="5">
        <f t="shared" si="2"/>
        <v>-5500</v>
      </c>
      <c r="E33" s="6">
        <f t="shared" si="3"/>
        <v>0.91666666666666663</v>
      </c>
    </row>
    <row r="34" spans="1:5" x14ac:dyDescent="0.25">
      <c r="A34" s="3" t="s">
        <v>32</v>
      </c>
      <c r="B34" s="4"/>
      <c r="C34" s="5">
        <f>650</f>
        <v>650</v>
      </c>
      <c r="D34" s="5">
        <f t="shared" si="2"/>
        <v>-650</v>
      </c>
      <c r="E34" s="6">
        <f t="shared" si="3"/>
        <v>0</v>
      </c>
    </row>
    <row r="35" spans="1:5" x14ac:dyDescent="0.25">
      <c r="A35" s="3" t="s">
        <v>33</v>
      </c>
      <c r="B35" s="4"/>
      <c r="C35" s="5">
        <f>10000</f>
        <v>10000</v>
      </c>
      <c r="D35" s="5">
        <f t="shared" si="2"/>
        <v>-10000</v>
      </c>
      <c r="E35" s="6">
        <f t="shared" si="3"/>
        <v>0</v>
      </c>
    </row>
    <row r="36" spans="1:5" x14ac:dyDescent="0.25">
      <c r="A36" s="3" t="s">
        <v>34</v>
      </c>
      <c r="B36" s="5">
        <f>-1507.63</f>
        <v>-1507.63</v>
      </c>
      <c r="C36" s="5">
        <f>1000</f>
        <v>1000</v>
      </c>
      <c r="D36" s="5">
        <f t="shared" si="2"/>
        <v>-2507.63</v>
      </c>
      <c r="E36" s="6">
        <f t="shared" si="3"/>
        <v>-1.50763</v>
      </c>
    </row>
    <row r="37" spans="1:5" x14ac:dyDescent="0.25">
      <c r="A37" s="3" t="s">
        <v>35</v>
      </c>
      <c r="B37" s="5">
        <f>17472.43</f>
        <v>17472.43</v>
      </c>
      <c r="C37" s="5">
        <f>18000</f>
        <v>18000</v>
      </c>
      <c r="D37" s="5">
        <f t="shared" si="2"/>
        <v>-527.56999999999971</v>
      </c>
      <c r="E37" s="6">
        <f t="shared" si="3"/>
        <v>0.97069055555555561</v>
      </c>
    </row>
    <row r="38" spans="1:5" x14ac:dyDescent="0.25">
      <c r="A38" s="3" t="s">
        <v>36</v>
      </c>
      <c r="B38" s="5">
        <f>1100</f>
        <v>1100</v>
      </c>
      <c r="C38" s="5">
        <f>1300</f>
        <v>1300</v>
      </c>
      <c r="D38" s="5">
        <f t="shared" si="2"/>
        <v>-200</v>
      </c>
      <c r="E38" s="6">
        <f t="shared" si="3"/>
        <v>0.84615384615384615</v>
      </c>
    </row>
    <row r="39" spans="1:5" x14ac:dyDescent="0.25">
      <c r="A39" s="3" t="s">
        <v>37</v>
      </c>
      <c r="B39" s="5">
        <f>1054.53</f>
        <v>1054.53</v>
      </c>
      <c r="C39" s="5">
        <f>1600</f>
        <v>1600</v>
      </c>
      <c r="D39" s="5">
        <f t="shared" si="2"/>
        <v>-545.47</v>
      </c>
      <c r="E39" s="6">
        <f t="shared" si="3"/>
        <v>0.65908124999999995</v>
      </c>
    </row>
    <row r="40" spans="1:5" x14ac:dyDescent="0.25">
      <c r="A40" s="3" t="s">
        <v>38</v>
      </c>
      <c r="B40" s="5">
        <f>178.19</f>
        <v>178.19</v>
      </c>
      <c r="C40" s="5">
        <f>700</f>
        <v>700</v>
      </c>
      <c r="D40" s="5">
        <f t="shared" si="2"/>
        <v>-521.80999999999995</v>
      </c>
      <c r="E40" s="6">
        <f t="shared" si="3"/>
        <v>0.25455714285714287</v>
      </c>
    </row>
    <row r="41" spans="1:5" x14ac:dyDescent="0.25">
      <c r="A41" s="3" t="s">
        <v>39</v>
      </c>
      <c r="B41" s="4"/>
      <c r="C41" s="5">
        <f>60</f>
        <v>60</v>
      </c>
      <c r="D41" s="5">
        <f t="shared" si="2"/>
        <v>-60</v>
      </c>
      <c r="E41" s="6">
        <f t="shared" si="3"/>
        <v>0</v>
      </c>
    </row>
    <row r="42" spans="1:5" x14ac:dyDescent="0.25">
      <c r="A42" s="3" t="s">
        <v>40</v>
      </c>
      <c r="B42" s="5">
        <f>1925</f>
        <v>1925</v>
      </c>
      <c r="C42" s="5">
        <f>2100</f>
        <v>2100</v>
      </c>
      <c r="D42" s="5">
        <f t="shared" si="2"/>
        <v>-175</v>
      </c>
      <c r="E42" s="6">
        <f t="shared" si="3"/>
        <v>0.91666666666666663</v>
      </c>
    </row>
    <row r="43" spans="1:5" x14ac:dyDescent="0.25">
      <c r="A43" s="3" t="s">
        <v>41</v>
      </c>
      <c r="B43" s="5">
        <f>3086.69</f>
        <v>3086.69</v>
      </c>
      <c r="C43" s="5">
        <f>4000</f>
        <v>4000</v>
      </c>
      <c r="D43" s="5">
        <f t="shared" si="2"/>
        <v>-913.31</v>
      </c>
      <c r="E43" s="6">
        <f t="shared" si="3"/>
        <v>0.77167249999999998</v>
      </c>
    </row>
    <row r="44" spans="1:5" x14ac:dyDescent="0.25">
      <c r="A44" s="3" t="s">
        <v>42</v>
      </c>
      <c r="B44" s="5">
        <f>24750</f>
        <v>24750</v>
      </c>
      <c r="C44" s="5">
        <f>27000</f>
        <v>27000</v>
      </c>
      <c r="D44" s="5">
        <f t="shared" si="2"/>
        <v>-2250</v>
      </c>
      <c r="E44" s="6">
        <f t="shared" si="3"/>
        <v>0.91666666666666663</v>
      </c>
    </row>
    <row r="45" spans="1:5" x14ac:dyDescent="0.25">
      <c r="A45" s="3" t="s">
        <v>43</v>
      </c>
      <c r="B45" s="5">
        <f>33458.28</f>
        <v>33458.28</v>
      </c>
      <c r="C45" s="5">
        <f>36500</f>
        <v>36500</v>
      </c>
      <c r="D45" s="5">
        <f t="shared" si="2"/>
        <v>-3041.7200000000012</v>
      </c>
      <c r="E45" s="6">
        <f t="shared" si="3"/>
        <v>0.91666520547945207</v>
      </c>
    </row>
    <row r="46" spans="1:5" x14ac:dyDescent="0.25">
      <c r="A46" s="3" t="s">
        <v>44</v>
      </c>
      <c r="B46" s="5">
        <f>96.48</f>
        <v>96.48</v>
      </c>
      <c r="C46" s="5">
        <f>115</f>
        <v>115</v>
      </c>
      <c r="D46" s="5">
        <f t="shared" si="2"/>
        <v>-18.519999999999996</v>
      </c>
      <c r="E46" s="6">
        <f t="shared" si="3"/>
        <v>0.83895652173913049</v>
      </c>
    </row>
    <row r="47" spans="1:5" x14ac:dyDescent="0.25">
      <c r="A47" s="3" t="s">
        <v>45</v>
      </c>
      <c r="B47" s="7">
        <f>((((((((((((((B32)+(B33))+(B34))+(B35))+(B36))+(B37))+(B38))+(B39))+(B40))+(B41))+(B42))+(B43))+(B44))+(B45))+(B46)</f>
        <v>142113.97</v>
      </c>
      <c r="C47" s="7">
        <f>((((((((((((((C32)+(C33))+(C34))+(C35))+(C36))+(C37))+(C38))+(C39))+(C40))+(C41))+(C42))+(C43))+(C44))+(C45))+(C46)</f>
        <v>169025</v>
      </c>
      <c r="D47" s="7">
        <f t="shared" si="2"/>
        <v>-26911.03</v>
      </c>
      <c r="E47" s="8">
        <f t="shared" si="3"/>
        <v>0.84078668835971015</v>
      </c>
    </row>
    <row r="48" spans="1:5" x14ac:dyDescent="0.25">
      <c r="A48" s="3" t="s">
        <v>46</v>
      </c>
      <c r="B48" s="4"/>
      <c r="C48" s="4"/>
      <c r="D48" s="5">
        <f t="shared" si="2"/>
        <v>0</v>
      </c>
      <c r="E48" s="6" t="str">
        <f t="shared" si="3"/>
        <v/>
      </c>
    </row>
    <row r="49" spans="1:5" x14ac:dyDescent="0.25">
      <c r="A49" s="3" t="s">
        <v>47</v>
      </c>
      <c r="B49" s="5">
        <f>96.46</f>
        <v>96.46</v>
      </c>
      <c r="C49" s="5">
        <f>100</f>
        <v>100</v>
      </c>
      <c r="D49" s="5">
        <f t="shared" si="2"/>
        <v>-3.5400000000000063</v>
      </c>
      <c r="E49" s="6">
        <f t="shared" si="3"/>
        <v>0.9645999999999999</v>
      </c>
    </row>
    <row r="50" spans="1:5" x14ac:dyDescent="0.25">
      <c r="A50" s="3" t="s">
        <v>48</v>
      </c>
      <c r="B50" s="7">
        <f>(B48)+(B49)</f>
        <v>96.46</v>
      </c>
      <c r="C50" s="7">
        <f>(C48)+(C49)</f>
        <v>100</v>
      </c>
      <c r="D50" s="7">
        <f t="shared" si="2"/>
        <v>-3.5400000000000063</v>
      </c>
      <c r="E50" s="8">
        <f t="shared" si="3"/>
        <v>0.9645999999999999</v>
      </c>
    </row>
    <row r="51" spans="1:5" x14ac:dyDescent="0.25">
      <c r="A51" s="3" t="s">
        <v>49</v>
      </c>
      <c r="B51" s="4"/>
      <c r="C51" s="4"/>
      <c r="D51" s="5">
        <f t="shared" si="2"/>
        <v>0</v>
      </c>
      <c r="E51" s="6" t="str">
        <f t="shared" si="3"/>
        <v/>
      </c>
    </row>
    <row r="52" spans="1:5" x14ac:dyDescent="0.25">
      <c r="A52" s="3" t="s">
        <v>50</v>
      </c>
      <c r="B52" s="5">
        <f>88000</f>
        <v>88000</v>
      </c>
      <c r="C52" s="5">
        <f>96000</f>
        <v>96000</v>
      </c>
      <c r="D52" s="5">
        <f t="shared" si="2"/>
        <v>-8000</v>
      </c>
      <c r="E52" s="6">
        <f t="shared" si="3"/>
        <v>0.91666666666666663</v>
      </c>
    </row>
    <row r="53" spans="1:5" x14ac:dyDescent="0.25">
      <c r="A53" s="3" t="s">
        <v>51</v>
      </c>
      <c r="B53" s="5">
        <f>653.92</f>
        <v>653.91999999999996</v>
      </c>
      <c r="C53" s="5">
        <f>1000</f>
        <v>1000</v>
      </c>
      <c r="D53" s="5">
        <f t="shared" si="2"/>
        <v>-346.08000000000004</v>
      </c>
      <c r="E53" s="6">
        <f t="shared" si="3"/>
        <v>0.65391999999999995</v>
      </c>
    </row>
    <row r="54" spans="1:5" x14ac:dyDescent="0.25">
      <c r="A54" s="3" t="s">
        <v>52</v>
      </c>
      <c r="B54" s="5">
        <f>35.46</f>
        <v>35.46</v>
      </c>
      <c r="C54" s="5">
        <f>100</f>
        <v>100</v>
      </c>
      <c r="D54" s="5">
        <f t="shared" si="2"/>
        <v>-64.539999999999992</v>
      </c>
      <c r="E54" s="6">
        <f t="shared" si="3"/>
        <v>0.35460000000000003</v>
      </c>
    </row>
    <row r="55" spans="1:5" x14ac:dyDescent="0.25">
      <c r="A55" s="3" t="s">
        <v>53</v>
      </c>
      <c r="B55" s="7">
        <f>(((B51)+(B52))+(B53))+(B54)</f>
        <v>88689.38</v>
      </c>
      <c r="C55" s="7">
        <f>(((C51)+(C52))+(C53))+(C54)</f>
        <v>97100</v>
      </c>
      <c r="D55" s="7">
        <f t="shared" si="2"/>
        <v>-8410.6199999999953</v>
      </c>
      <c r="E55" s="8">
        <f t="shared" si="3"/>
        <v>0.91338187435633378</v>
      </c>
    </row>
    <row r="56" spans="1:5" x14ac:dyDescent="0.25">
      <c r="A56" s="3" t="s">
        <v>54</v>
      </c>
      <c r="B56" s="4"/>
      <c r="C56" s="4"/>
      <c r="D56" s="5">
        <f t="shared" si="2"/>
        <v>0</v>
      </c>
      <c r="E56" s="6" t="str">
        <f t="shared" si="3"/>
        <v/>
      </c>
    </row>
    <row r="57" spans="1:5" x14ac:dyDescent="0.25">
      <c r="A57" s="3" t="s">
        <v>55</v>
      </c>
      <c r="B57" s="4"/>
      <c r="C57" s="5">
        <f>1500</f>
        <v>1500</v>
      </c>
      <c r="D57" s="5">
        <f t="shared" si="2"/>
        <v>-1500</v>
      </c>
      <c r="E57" s="6">
        <f t="shared" si="3"/>
        <v>0</v>
      </c>
    </row>
    <row r="58" spans="1:5" x14ac:dyDescent="0.25">
      <c r="A58" s="3" t="s">
        <v>56</v>
      </c>
      <c r="B58" s="5">
        <f>84</f>
        <v>84</v>
      </c>
      <c r="C58" s="4"/>
      <c r="D58" s="5">
        <f t="shared" si="2"/>
        <v>84</v>
      </c>
      <c r="E58" s="6" t="str">
        <f t="shared" si="3"/>
        <v/>
      </c>
    </row>
    <row r="59" spans="1:5" x14ac:dyDescent="0.25">
      <c r="A59" s="3" t="s">
        <v>57</v>
      </c>
      <c r="B59" s="5">
        <f>3474.63</f>
        <v>3474.63</v>
      </c>
      <c r="C59" s="5">
        <f>6000</f>
        <v>6000</v>
      </c>
      <c r="D59" s="5">
        <f t="shared" si="2"/>
        <v>-2525.37</v>
      </c>
      <c r="E59" s="6">
        <f t="shared" si="3"/>
        <v>0.57910499999999998</v>
      </c>
    </row>
    <row r="60" spans="1:5" x14ac:dyDescent="0.25">
      <c r="A60" s="3" t="s">
        <v>58</v>
      </c>
      <c r="B60" s="4"/>
      <c r="C60" s="5">
        <f>200</f>
        <v>200</v>
      </c>
      <c r="D60" s="5">
        <f t="shared" si="2"/>
        <v>-200</v>
      </c>
      <c r="E60" s="6">
        <f t="shared" si="3"/>
        <v>0</v>
      </c>
    </row>
    <row r="61" spans="1:5" x14ac:dyDescent="0.25">
      <c r="A61" s="3" t="s">
        <v>59</v>
      </c>
      <c r="B61" s="7">
        <f>((((B56)+(B57))+(B58))+(B59))+(B60)</f>
        <v>3558.63</v>
      </c>
      <c r="C61" s="7">
        <f>((((C56)+(C57))+(C58))+(C59))+(C60)</f>
        <v>7700</v>
      </c>
      <c r="D61" s="7">
        <f t="shared" si="2"/>
        <v>-4141.37</v>
      </c>
      <c r="E61" s="8">
        <f t="shared" si="3"/>
        <v>0.46215974025974027</v>
      </c>
    </row>
    <row r="62" spans="1:5" x14ac:dyDescent="0.25">
      <c r="A62" s="3" t="s">
        <v>60</v>
      </c>
      <c r="B62" s="4"/>
      <c r="C62" s="4"/>
      <c r="D62" s="5">
        <f t="shared" si="2"/>
        <v>0</v>
      </c>
      <c r="E62" s="6" t="str">
        <f t="shared" si="3"/>
        <v/>
      </c>
    </row>
    <row r="63" spans="1:5" x14ac:dyDescent="0.25">
      <c r="A63" s="3" t="s">
        <v>61</v>
      </c>
      <c r="B63" s="4"/>
      <c r="C63" s="5">
        <f>250</f>
        <v>250</v>
      </c>
      <c r="D63" s="5">
        <f t="shared" si="2"/>
        <v>-250</v>
      </c>
      <c r="E63" s="6">
        <f t="shared" si="3"/>
        <v>0</v>
      </c>
    </row>
    <row r="64" spans="1:5" x14ac:dyDescent="0.25">
      <c r="A64" s="3" t="s">
        <v>62</v>
      </c>
      <c r="B64" s="5">
        <f>9166.54</f>
        <v>9166.5400000000009</v>
      </c>
      <c r="C64" s="5">
        <f>10000</f>
        <v>10000</v>
      </c>
      <c r="D64" s="5">
        <f t="shared" ref="D64:D95" si="4">(B64)-(C64)</f>
        <v>-833.45999999999913</v>
      </c>
      <c r="E64" s="6">
        <f t="shared" ref="E64:E95" si="5">IF(C64=0,"",(B64)/(C64))</f>
        <v>0.91665400000000008</v>
      </c>
    </row>
    <row r="65" spans="1:6" x14ac:dyDescent="0.25">
      <c r="A65" s="3" t="s">
        <v>63</v>
      </c>
      <c r="B65" s="5">
        <f>4583.37</f>
        <v>4583.37</v>
      </c>
      <c r="C65" s="4"/>
      <c r="D65" s="5">
        <f t="shared" si="4"/>
        <v>4583.37</v>
      </c>
      <c r="E65" s="6" t="str">
        <f t="shared" si="5"/>
        <v/>
      </c>
    </row>
    <row r="66" spans="1:6" x14ac:dyDescent="0.25">
      <c r="A66" s="3" t="s">
        <v>64</v>
      </c>
      <c r="B66" s="4"/>
      <c r="C66" s="5">
        <f>5000</f>
        <v>5000</v>
      </c>
      <c r="D66" s="5">
        <f t="shared" si="4"/>
        <v>-5000</v>
      </c>
      <c r="E66" s="6">
        <f t="shared" si="5"/>
        <v>0</v>
      </c>
    </row>
    <row r="67" spans="1:6" x14ac:dyDescent="0.25">
      <c r="A67" s="3" t="s">
        <v>65</v>
      </c>
      <c r="B67" s="5">
        <f>28141.63</f>
        <v>28141.63</v>
      </c>
      <c r="C67" s="5">
        <f>29200</f>
        <v>29200</v>
      </c>
      <c r="D67" s="5">
        <f t="shared" si="4"/>
        <v>-1058.369999999999</v>
      </c>
      <c r="E67" s="6">
        <f t="shared" si="5"/>
        <v>0.9637544520547946</v>
      </c>
    </row>
    <row r="68" spans="1:6" x14ac:dyDescent="0.25">
      <c r="A68" s="3" t="s">
        <v>66</v>
      </c>
      <c r="B68" s="5">
        <f>3110</f>
        <v>3110</v>
      </c>
      <c r="C68" s="5">
        <f>2100</f>
        <v>2100</v>
      </c>
      <c r="D68" s="5">
        <f t="shared" si="4"/>
        <v>1010</v>
      </c>
      <c r="E68" s="6">
        <f t="shared" si="5"/>
        <v>1.480952380952381</v>
      </c>
      <c r="F68" t="s">
        <v>118</v>
      </c>
    </row>
    <row r="69" spans="1:6" x14ac:dyDescent="0.25">
      <c r="A69" s="3" t="s">
        <v>67</v>
      </c>
      <c r="B69" s="5">
        <f>4583.28</f>
        <v>4583.28</v>
      </c>
      <c r="C69" s="5">
        <f>5000</f>
        <v>5000</v>
      </c>
      <c r="D69" s="5">
        <f t="shared" si="4"/>
        <v>-416.72000000000025</v>
      </c>
      <c r="E69" s="6">
        <f t="shared" si="5"/>
        <v>0.91665599999999992</v>
      </c>
    </row>
    <row r="70" spans="1:6" x14ac:dyDescent="0.25">
      <c r="A70" s="3" t="s">
        <v>68</v>
      </c>
      <c r="B70" s="5">
        <f>4583.28</f>
        <v>4583.28</v>
      </c>
      <c r="C70" s="5">
        <f>5000</f>
        <v>5000</v>
      </c>
      <c r="D70" s="5">
        <f t="shared" si="4"/>
        <v>-416.72000000000025</v>
      </c>
      <c r="E70" s="6">
        <f t="shared" si="5"/>
        <v>0.91665599999999992</v>
      </c>
    </row>
    <row r="71" spans="1:6" x14ac:dyDescent="0.25">
      <c r="A71" s="3" t="s">
        <v>69</v>
      </c>
      <c r="B71" s="5">
        <f>6562.56</f>
        <v>6562.56</v>
      </c>
      <c r="C71" s="5">
        <f>8750</f>
        <v>8750</v>
      </c>
      <c r="D71" s="5">
        <f t="shared" si="4"/>
        <v>-2187.4399999999996</v>
      </c>
      <c r="E71" s="6">
        <f t="shared" si="5"/>
        <v>0.7500068571428572</v>
      </c>
    </row>
    <row r="72" spans="1:6" x14ac:dyDescent="0.25">
      <c r="A72" s="3" t="s">
        <v>70</v>
      </c>
      <c r="B72" s="5">
        <f>13892.48</f>
        <v>13892.48</v>
      </c>
      <c r="C72" s="5">
        <f>7400</f>
        <v>7400</v>
      </c>
      <c r="D72" s="5">
        <f t="shared" si="4"/>
        <v>6492.48</v>
      </c>
      <c r="E72" s="6">
        <f t="shared" si="5"/>
        <v>1.8773621621621621</v>
      </c>
      <c r="F72" t="s">
        <v>117</v>
      </c>
    </row>
    <row r="73" spans="1:6" x14ac:dyDescent="0.25">
      <c r="A73" s="3" t="s">
        <v>71</v>
      </c>
      <c r="B73" s="5">
        <f>216</f>
        <v>216</v>
      </c>
      <c r="C73" s="4"/>
      <c r="D73" s="5">
        <f t="shared" si="4"/>
        <v>216</v>
      </c>
      <c r="E73" s="6" t="str">
        <f t="shared" si="5"/>
        <v/>
      </c>
    </row>
    <row r="74" spans="1:6" x14ac:dyDescent="0.25">
      <c r="A74" s="3" t="s">
        <v>72</v>
      </c>
      <c r="B74" s="5">
        <f>384</f>
        <v>384</v>
      </c>
      <c r="C74" s="5">
        <f>400</f>
        <v>400</v>
      </c>
      <c r="D74" s="5">
        <f t="shared" si="4"/>
        <v>-16</v>
      </c>
      <c r="E74" s="6">
        <f t="shared" si="5"/>
        <v>0.96</v>
      </c>
    </row>
    <row r="75" spans="1:6" x14ac:dyDescent="0.25">
      <c r="A75" s="3" t="s">
        <v>73</v>
      </c>
      <c r="B75" s="7">
        <f>((((((((((((B62)+(B63))+(B64))+(B65))+(B66))+(B67))+(B68))+(B69))+(B70))+(B71))+(B72))+(B73))+(B74)</f>
        <v>75223.14</v>
      </c>
      <c r="C75" s="7">
        <f>((((((((((((C62)+(C63))+(C64))+(C65))+(C66))+(C67))+(C68))+(C69))+(C70))+(C71))+(C72))+(C73))+(C74)</f>
        <v>73100</v>
      </c>
      <c r="D75" s="7">
        <f t="shared" si="4"/>
        <v>2123.1399999999994</v>
      </c>
      <c r="E75" s="8">
        <f t="shared" si="5"/>
        <v>1.0290443228454171</v>
      </c>
    </row>
    <row r="76" spans="1:6" x14ac:dyDescent="0.25">
      <c r="A76" s="3" t="s">
        <v>74</v>
      </c>
      <c r="B76" s="4"/>
      <c r="C76" s="4"/>
      <c r="D76" s="5">
        <f t="shared" si="4"/>
        <v>0</v>
      </c>
      <c r="E76" s="6" t="str">
        <f t="shared" si="5"/>
        <v/>
      </c>
    </row>
    <row r="77" spans="1:6" x14ac:dyDescent="0.25">
      <c r="A77" s="3" t="s">
        <v>75</v>
      </c>
      <c r="B77" s="5">
        <f>10458</f>
        <v>10458</v>
      </c>
      <c r="C77" s="5">
        <f>10000</f>
        <v>10000</v>
      </c>
      <c r="D77" s="5">
        <f t="shared" si="4"/>
        <v>458</v>
      </c>
      <c r="E77" s="6">
        <f t="shared" si="5"/>
        <v>1.0458000000000001</v>
      </c>
      <c r="F77" t="s">
        <v>116</v>
      </c>
    </row>
    <row r="78" spans="1:6" x14ac:dyDescent="0.25">
      <c r="A78" s="3" t="s">
        <v>76</v>
      </c>
      <c r="B78" s="4"/>
      <c r="C78" s="5">
        <f>1500</f>
        <v>1500</v>
      </c>
      <c r="D78" s="5">
        <f t="shared" si="4"/>
        <v>-1500</v>
      </c>
      <c r="E78" s="6">
        <f t="shared" si="5"/>
        <v>0</v>
      </c>
    </row>
    <row r="79" spans="1:6" x14ac:dyDescent="0.25">
      <c r="A79" s="3" t="s">
        <v>77</v>
      </c>
      <c r="B79" s="5">
        <f>16619.4</f>
        <v>16619.400000000001</v>
      </c>
      <c r="C79" s="5">
        <f>37000</f>
        <v>37000</v>
      </c>
      <c r="D79" s="5">
        <f t="shared" si="4"/>
        <v>-20380.599999999999</v>
      </c>
      <c r="E79" s="6">
        <f t="shared" si="5"/>
        <v>0.44917297297297304</v>
      </c>
    </row>
    <row r="80" spans="1:6" x14ac:dyDescent="0.25">
      <c r="A80" s="3" t="s">
        <v>78</v>
      </c>
      <c r="B80" s="5">
        <f>5329</f>
        <v>5329</v>
      </c>
      <c r="C80" s="5">
        <f>2000</f>
        <v>2000</v>
      </c>
      <c r="D80" s="5">
        <f t="shared" si="4"/>
        <v>3329</v>
      </c>
      <c r="E80" s="6">
        <f t="shared" si="5"/>
        <v>2.6644999999999999</v>
      </c>
      <c r="F80" t="s">
        <v>115</v>
      </c>
    </row>
    <row r="81" spans="1:5" x14ac:dyDescent="0.25">
      <c r="A81" s="3" t="s">
        <v>79</v>
      </c>
      <c r="B81" s="4"/>
      <c r="C81" s="5">
        <f>1500</f>
        <v>1500</v>
      </c>
      <c r="D81" s="5">
        <f t="shared" si="4"/>
        <v>-1500</v>
      </c>
      <c r="E81" s="6">
        <f t="shared" si="5"/>
        <v>0</v>
      </c>
    </row>
    <row r="82" spans="1:5" x14ac:dyDescent="0.25">
      <c r="A82" s="3" t="s">
        <v>80</v>
      </c>
      <c r="B82" s="5">
        <f>315</f>
        <v>315</v>
      </c>
      <c r="C82" s="5">
        <f>420</f>
        <v>420</v>
      </c>
      <c r="D82" s="5">
        <f t="shared" si="4"/>
        <v>-105</v>
      </c>
      <c r="E82" s="6">
        <f t="shared" si="5"/>
        <v>0.75</v>
      </c>
    </row>
    <row r="83" spans="1:5" x14ac:dyDescent="0.25">
      <c r="A83" s="3" t="s">
        <v>81</v>
      </c>
      <c r="B83" s="5">
        <f>5000</f>
        <v>5000</v>
      </c>
      <c r="C83" s="5">
        <f>5054</f>
        <v>5054</v>
      </c>
      <c r="D83" s="5">
        <f t="shared" si="4"/>
        <v>-54</v>
      </c>
      <c r="E83" s="6">
        <f t="shared" si="5"/>
        <v>0.98931539374752675</v>
      </c>
    </row>
    <row r="84" spans="1:5" x14ac:dyDescent="0.25">
      <c r="A84" s="3" t="s">
        <v>82</v>
      </c>
      <c r="B84" s="7">
        <f>(((((((B76)+(B77))+(B78))+(B79))+(B80))+(B81))+(B82))+(B83)</f>
        <v>37721.4</v>
      </c>
      <c r="C84" s="7">
        <f>(((((((C76)+(C77))+(C78))+(C79))+(C80))+(C81))+(C82))+(C83)</f>
        <v>57474</v>
      </c>
      <c r="D84" s="7">
        <f t="shared" si="4"/>
        <v>-19752.599999999999</v>
      </c>
      <c r="E84" s="8">
        <f t="shared" si="5"/>
        <v>0.65632111911473012</v>
      </c>
    </row>
    <row r="85" spans="1:5" x14ac:dyDescent="0.25">
      <c r="A85" s="3" t="s">
        <v>83</v>
      </c>
      <c r="B85" s="4"/>
      <c r="C85" s="4"/>
      <c r="D85" s="5">
        <f t="shared" si="4"/>
        <v>0</v>
      </c>
      <c r="E85" s="6" t="str">
        <f t="shared" si="5"/>
        <v/>
      </c>
    </row>
    <row r="86" spans="1:5" x14ac:dyDescent="0.25">
      <c r="A86" s="3" t="s">
        <v>84</v>
      </c>
      <c r="B86" s="5">
        <f>59108.34</f>
        <v>59108.34</v>
      </c>
      <c r="C86" s="5">
        <f>64600</f>
        <v>64600</v>
      </c>
      <c r="D86" s="5">
        <f t="shared" si="4"/>
        <v>-5491.6600000000035</v>
      </c>
      <c r="E86" s="6">
        <f t="shared" si="5"/>
        <v>0.91498978328173364</v>
      </c>
    </row>
    <row r="87" spans="1:5" x14ac:dyDescent="0.25">
      <c r="A87" s="3" t="s">
        <v>85</v>
      </c>
      <c r="B87" s="4"/>
      <c r="C87" s="5">
        <f>3250</f>
        <v>3250</v>
      </c>
      <c r="D87" s="5">
        <f t="shared" si="4"/>
        <v>-3250</v>
      </c>
      <c r="E87" s="6">
        <f t="shared" si="5"/>
        <v>0</v>
      </c>
    </row>
    <row r="88" spans="1:5" x14ac:dyDescent="0.25">
      <c r="A88" s="3" t="s">
        <v>86</v>
      </c>
      <c r="B88" s="5">
        <f>72000</f>
        <v>72000</v>
      </c>
      <c r="C88" s="5">
        <f>72000</f>
        <v>72000</v>
      </c>
      <c r="D88" s="5">
        <f t="shared" si="4"/>
        <v>0</v>
      </c>
      <c r="E88" s="6">
        <f t="shared" si="5"/>
        <v>1</v>
      </c>
    </row>
    <row r="89" spans="1:5" x14ac:dyDescent="0.25">
      <c r="A89" s="3" t="s">
        <v>87</v>
      </c>
      <c r="B89" s="4"/>
      <c r="C89" s="5">
        <f>3800</f>
        <v>3800</v>
      </c>
      <c r="D89" s="5">
        <f t="shared" si="4"/>
        <v>-3800</v>
      </c>
      <c r="E89" s="6">
        <f t="shared" si="5"/>
        <v>0</v>
      </c>
    </row>
    <row r="90" spans="1:5" x14ac:dyDescent="0.25">
      <c r="A90" s="3" t="s">
        <v>88</v>
      </c>
      <c r="B90" s="4"/>
      <c r="C90" s="5">
        <f>92</f>
        <v>92</v>
      </c>
      <c r="D90" s="5">
        <f t="shared" si="4"/>
        <v>-92</v>
      </c>
      <c r="E90" s="6">
        <f t="shared" si="5"/>
        <v>0</v>
      </c>
    </row>
    <row r="91" spans="1:5" x14ac:dyDescent="0.25">
      <c r="A91" s="3" t="s">
        <v>89</v>
      </c>
      <c r="B91" s="7">
        <f>(((((B85)+(B86))+(B87))+(B88))+(B89))+(B90)</f>
        <v>131108.34</v>
      </c>
      <c r="C91" s="7">
        <f>(((((C85)+(C86))+(C87))+(C88))+(C89))+(C90)</f>
        <v>143742</v>
      </c>
      <c r="D91" s="7">
        <f t="shared" si="4"/>
        <v>-12633.660000000003</v>
      </c>
      <c r="E91" s="8">
        <f t="shared" si="5"/>
        <v>0.9121087782276579</v>
      </c>
    </row>
    <row r="92" spans="1:5" x14ac:dyDescent="0.25">
      <c r="A92" s="3" t="s">
        <v>90</v>
      </c>
      <c r="B92" s="4"/>
      <c r="C92" s="4"/>
      <c r="D92" s="5">
        <f t="shared" si="4"/>
        <v>0</v>
      </c>
      <c r="E92" s="6" t="str">
        <f t="shared" si="5"/>
        <v/>
      </c>
    </row>
    <row r="93" spans="1:5" x14ac:dyDescent="0.25">
      <c r="A93" s="3" t="s">
        <v>91</v>
      </c>
      <c r="B93" s="5">
        <f>1000</f>
        <v>1000</v>
      </c>
      <c r="C93" s="5">
        <f>1000</f>
        <v>1000</v>
      </c>
      <c r="D93" s="5">
        <f t="shared" si="4"/>
        <v>0</v>
      </c>
      <c r="E93" s="6">
        <f t="shared" si="5"/>
        <v>1</v>
      </c>
    </row>
    <row r="94" spans="1:5" x14ac:dyDescent="0.25">
      <c r="A94" s="3" t="s">
        <v>92</v>
      </c>
      <c r="B94" s="5">
        <f>0</f>
        <v>0</v>
      </c>
      <c r="C94" s="4"/>
      <c r="D94" s="5">
        <f t="shared" si="4"/>
        <v>0</v>
      </c>
      <c r="E94" s="6" t="str">
        <f t="shared" si="5"/>
        <v/>
      </c>
    </row>
    <row r="95" spans="1:5" x14ac:dyDescent="0.25">
      <c r="A95" s="3" t="s">
        <v>93</v>
      </c>
      <c r="B95" s="7">
        <f>((B92)+(B93))+(B94)</f>
        <v>1000</v>
      </c>
      <c r="C95" s="7">
        <f>((C92)+(C93))+(C94)</f>
        <v>1000</v>
      </c>
      <c r="D95" s="7">
        <f t="shared" si="4"/>
        <v>0</v>
      </c>
      <c r="E95" s="8">
        <f t="shared" si="5"/>
        <v>1</v>
      </c>
    </row>
    <row r="96" spans="1:5" x14ac:dyDescent="0.25">
      <c r="A96" s="3" t="s">
        <v>94</v>
      </c>
      <c r="B96" s="4"/>
      <c r="C96" s="4"/>
      <c r="D96" s="5">
        <f t="shared" ref="D96:D127" si="6">(B96)-(C96)</f>
        <v>0</v>
      </c>
      <c r="E96" s="6" t="str">
        <f t="shared" ref="E96:E112" si="7">IF(C96=0,"",(B96)/(C96))</f>
        <v/>
      </c>
    </row>
    <row r="97" spans="1:5" x14ac:dyDescent="0.25">
      <c r="A97" s="3" t="s">
        <v>95</v>
      </c>
      <c r="B97" s="4"/>
      <c r="C97" s="5">
        <f>250</f>
        <v>250</v>
      </c>
      <c r="D97" s="5">
        <f t="shared" si="6"/>
        <v>-250</v>
      </c>
      <c r="E97" s="6">
        <f t="shared" si="7"/>
        <v>0</v>
      </c>
    </row>
    <row r="98" spans="1:5" x14ac:dyDescent="0.25">
      <c r="A98" s="3" t="s">
        <v>96</v>
      </c>
      <c r="B98" s="4"/>
      <c r="C98" s="4"/>
      <c r="D98" s="5">
        <f t="shared" si="6"/>
        <v>0</v>
      </c>
      <c r="E98" s="6" t="str">
        <f t="shared" si="7"/>
        <v/>
      </c>
    </row>
    <row r="99" spans="1:5" x14ac:dyDescent="0.25">
      <c r="A99" s="3" t="s">
        <v>97</v>
      </c>
      <c r="B99" s="4"/>
      <c r="C99" s="4"/>
      <c r="D99" s="5">
        <f t="shared" si="6"/>
        <v>0</v>
      </c>
      <c r="E99" s="6" t="str">
        <f t="shared" si="7"/>
        <v/>
      </c>
    </row>
    <row r="100" spans="1:5" x14ac:dyDescent="0.25">
      <c r="A100" s="3" t="s">
        <v>98</v>
      </c>
      <c r="B100" s="5">
        <f>0</f>
        <v>0</v>
      </c>
      <c r="C100" s="4"/>
      <c r="D100" s="5">
        <f t="shared" si="6"/>
        <v>0</v>
      </c>
      <c r="E100" s="6" t="str">
        <f t="shared" si="7"/>
        <v/>
      </c>
    </row>
    <row r="101" spans="1:5" x14ac:dyDescent="0.25">
      <c r="A101" s="3" t="s">
        <v>99</v>
      </c>
      <c r="B101" s="7">
        <f>(B99)+(B100)</f>
        <v>0</v>
      </c>
      <c r="C101" s="7">
        <f>(C99)+(C100)</f>
        <v>0</v>
      </c>
      <c r="D101" s="7">
        <f t="shared" si="6"/>
        <v>0</v>
      </c>
      <c r="E101" s="8" t="str">
        <f t="shared" si="7"/>
        <v/>
      </c>
    </row>
    <row r="102" spans="1:5" x14ac:dyDescent="0.25">
      <c r="A102" s="3" t="s">
        <v>100</v>
      </c>
      <c r="B102" s="7">
        <f>(B98)+(B101)</f>
        <v>0</v>
      </c>
      <c r="C102" s="7">
        <f>(C98)+(C101)</f>
        <v>0</v>
      </c>
      <c r="D102" s="7">
        <f t="shared" si="6"/>
        <v>0</v>
      </c>
      <c r="E102" s="8" t="str">
        <f t="shared" si="7"/>
        <v/>
      </c>
    </row>
    <row r="103" spans="1:5" x14ac:dyDescent="0.25">
      <c r="A103" s="3" t="s">
        <v>101</v>
      </c>
      <c r="B103" s="7">
        <f>((B96)+(B97))+(B102)</f>
        <v>0</v>
      </c>
      <c r="C103" s="7">
        <f>((C96)+(C97))+(C102)</f>
        <v>250</v>
      </c>
      <c r="D103" s="7">
        <f t="shared" si="6"/>
        <v>-250</v>
      </c>
      <c r="E103" s="8">
        <f t="shared" si="7"/>
        <v>0</v>
      </c>
    </row>
    <row r="104" spans="1:5" x14ac:dyDescent="0.25">
      <c r="A104" s="3" t="s">
        <v>102</v>
      </c>
      <c r="B104" s="4"/>
      <c r="C104" s="4"/>
      <c r="D104" s="5">
        <f t="shared" si="6"/>
        <v>0</v>
      </c>
      <c r="E104" s="6" t="str">
        <f t="shared" si="7"/>
        <v/>
      </c>
    </row>
    <row r="105" spans="1:5" x14ac:dyDescent="0.25">
      <c r="A105" s="3" t="s">
        <v>103</v>
      </c>
      <c r="B105" s="4"/>
      <c r="C105" s="5">
        <f>5000</f>
        <v>5000</v>
      </c>
      <c r="D105" s="5">
        <f t="shared" si="6"/>
        <v>-5000</v>
      </c>
      <c r="E105" s="6">
        <f t="shared" si="7"/>
        <v>0</v>
      </c>
    </row>
    <row r="106" spans="1:5" x14ac:dyDescent="0.25">
      <c r="A106" s="3" t="s">
        <v>104</v>
      </c>
      <c r="B106" s="4"/>
      <c r="C106" s="5">
        <f>260</f>
        <v>260</v>
      </c>
      <c r="D106" s="5">
        <f t="shared" si="6"/>
        <v>-260</v>
      </c>
      <c r="E106" s="6">
        <f t="shared" si="7"/>
        <v>0</v>
      </c>
    </row>
    <row r="107" spans="1:5" x14ac:dyDescent="0.25">
      <c r="A107" s="3" t="s">
        <v>105</v>
      </c>
      <c r="B107" s="5">
        <f>18961.37</f>
        <v>18961.37</v>
      </c>
      <c r="C107" s="5">
        <f>51820</f>
        <v>51820</v>
      </c>
      <c r="D107" s="5">
        <f t="shared" si="6"/>
        <v>-32858.630000000005</v>
      </c>
      <c r="E107" s="6">
        <f t="shared" si="7"/>
        <v>0.3659083365495947</v>
      </c>
    </row>
    <row r="108" spans="1:5" x14ac:dyDescent="0.25">
      <c r="A108" s="3" t="s">
        <v>106</v>
      </c>
      <c r="B108" s="7">
        <f>(((B104)+(B105))+(B106))+(B107)</f>
        <v>18961.37</v>
      </c>
      <c r="C108" s="7">
        <f>(((C104)+(C105))+(C106))+(C107)</f>
        <v>57080</v>
      </c>
      <c r="D108" s="7">
        <f t="shared" si="6"/>
        <v>-38118.630000000005</v>
      </c>
      <c r="E108" s="8">
        <f t="shared" si="7"/>
        <v>0.33218938332165382</v>
      </c>
    </row>
    <row r="109" spans="1:5" x14ac:dyDescent="0.25">
      <c r="A109" s="3" t="s">
        <v>107</v>
      </c>
      <c r="B109" s="4"/>
      <c r="C109" s="5">
        <f>2500</f>
        <v>2500</v>
      </c>
      <c r="D109" s="5">
        <f t="shared" si="6"/>
        <v>-2500</v>
      </c>
      <c r="E109" s="6">
        <f t="shared" si="7"/>
        <v>0</v>
      </c>
    </row>
    <row r="110" spans="1:5" x14ac:dyDescent="0.25">
      <c r="A110" s="3" t="s">
        <v>108</v>
      </c>
      <c r="B110" s="7">
        <f>((((((((((B47)+(B50))+(B55))+(B61))+(B75))+(B84))+(B91))+(B95))+(B103))+(B108))+(B109)</f>
        <v>498472.69000000006</v>
      </c>
      <c r="C110" s="7">
        <f>((((((((((C47)+(C50))+(C55))+(C61))+(C75))+(C84))+(C91))+(C95))+(C103))+(C108))+(C109)</f>
        <v>609071</v>
      </c>
      <c r="D110" s="7">
        <f t="shared" si="6"/>
        <v>-110598.30999999994</v>
      </c>
      <c r="E110" s="8">
        <f t="shared" si="7"/>
        <v>0.81841474967614625</v>
      </c>
    </row>
    <row r="111" spans="1:5" x14ac:dyDescent="0.25">
      <c r="A111" s="3" t="s">
        <v>109</v>
      </c>
      <c r="B111" s="7">
        <f>(B30)-(B110)</f>
        <v>106976.42000000004</v>
      </c>
      <c r="C111" s="7">
        <f>(C30)-(C110)</f>
        <v>64921</v>
      </c>
      <c r="D111" s="7">
        <f t="shared" si="6"/>
        <v>42055.420000000042</v>
      </c>
      <c r="E111" s="8">
        <f t="shared" si="7"/>
        <v>1.6477937801327773</v>
      </c>
    </row>
    <row r="112" spans="1:5" x14ac:dyDescent="0.25">
      <c r="A112" s="3" t="s">
        <v>110</v>
      </c>
      <c r="B112" s="9">
        <f>(B111)+(0)</f>
        <v>106976.42000000004</v>
      </c>
      <c r="C112" s="9">
        <f>(C111)+(0)</f>
        <v>64921</v>
      </c>
      <c r="D112" s="9">
        <f t="shared" si="6"/>
        <v>42055.420000000042</v>
      </c>
      <c r="E112" s="10">
        <f t="shared" si="7"/>
        <v>1.6477937801327773</v>
      </c>
    </row>
    <row r="113" spans="1:5" x14ac:dyDescent="0.25">
      <c r="A113" s="3"/>
      <c r="B113" s="4"/>
      <c r="C113" s="4"/>
      <c r="D113" s="4"/>
      <c r="E113" s="4"/>
    </row>
    <row r="116" spans="1:5" x14ac:dyDescent="0.25">
      <c r="A116" s="12" t="s">
        <v>111</v>
      </c>
      <c r="B116" s="13"/>
      <c r="C116" s="13"/>
      <c r="D116" s="13"/>
      <c r="E116" s="13"/>
    </row>
  </sheetData>
  <mergeCells count="5">
    <mergeCell ref="B5:E5"/>
    <mergeCell ref="A116:E116"/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2020-12-15T22:47:10Z</dcterms:created>
  <dcterms:modified xsi:type="dcterms:W3CDTF">2020-12-15T22:49:49Z</dcterms:modified>
</cp:coreProperties>
</file>