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A - California\Monthly Financials\2020\Decembr year end\"/>
    </mc:Choice>
  </mc:AlternateContent>
  <xr:revisionPtr revIDLastSave="0" documentId="13_ncr:1_{37C6B1D6-9C59-4F44-8FBD-054D1E0779B2}" xr6:coauthVersionLast="45" xr6:coauthVersionMax="45" xr10:uidLastSave="{00000000-0000-0000-0000-000000000000}"/>
  <bookViews>
    <workbookView xWindow="16545" yWindow="1035" windowWidth="20775" windowHeight="11385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E78" i="1" s="1"/>
  <c r="E68" i="1"/>
  <c r="D68" i="1"/>
  <c r="E112" i="1"/>
  <c r="C112" i="1"/>
  <c r="D112" i="1" s="1"/>
  <c r="D110" i="1"/>
  <c r="C110" i="1"/>
  <c r="E110" i="1" s="1"/>
  <c r="B110" i="1"/>
  <c r="B111" i="1" s="1"/>
  <c r="D109" i="1"/>
  <c r="C109" i="1"/>
  <c r="E109" i="1" s="1"/>
  <c r="D108" i="1"/>
  <c r="C108" i="1"/>
  <c r="E107" i="1"/>
  <c r="D107" i="1"/>
  <c r="E104" i="1"/>
  <c r="C104" i="1"/>
  <c r="C105" i="1" s="1"/>
  <c r="E103" i="1"/>
  <c r="B103" i="1"/>
  <c r="B104" i="1" s="1"/>
  <c r="E102" i="1"/>
  <c r="D102" i="1"/>
  <c r="E101" i="1"/>
  <c r="D101" i="1"/>
  <c r="C100" i="1"/>
  <c r="D100" i="1" s="1"/>
  <c r="E99" i="1"/>
  <c r="D99" i="1"/>
  <c r="E97" i="1"/>
  <c r="D97" i="1"/>
  <c r="B97" i="1"/>
  <c r="C96" i="1"/>
  <c r="B96" i="1"/>
  <c r="D96" i="1" s="1"/>
  <c r="E95" i="1"/>
  <c r="D95" i="1"/>
  <c r="E93" i="1"/>
  <c r="D93" i="1"/>
  <c r="C93" i="1"/>
  <c r="D92" i="1"/>
  <c r="C92" i="1"/>
  <c r="E92" i="1" s="1"/>
  <c r="B92" i="1"/>
  <c r="D91" i="1"/>
  <c r="C91" i="1"/>
  <c r="E91" i="1" s="1"/>
  <c r="B91" i="1"/>
  <c r="D90" i="1"/>
  <c r="C90" i="1"/>
  <c r="E90" i="1" s="1"/>
  <c r="C89" i="1"/>
  <c r="B89" i="1"/>
  <c r="D89" i="1" s="1"/>
  <c r="E88" i="1"/>
  <c r="D88" i="1"/>
  <c r="C86" i="1"/>
  <c r="B86" i="1"/>
  <c r="C85" i="1"/>
  <c r="B85" i="1"/>
  <c r="E84" i="1"/>
  <c r="D84" i="1"/>
  <c r="C84" i="1"/>
  <c r="D83" i="1"/>
  <c r="C83" i="1"/>
  <c r="E83" i="1" s="1"/>
  <c r="B83" i="1"/>
  <c r="D82" i="1"/>
  <c r="C82" i="1"/>
  <c r="E82" i="1" s="1"/>
  <c r="B82" i="1"/>
  <c r="D81" i="1"/>
  <c r="C81" i="1"/>
  <c r="E81" i="1" s="1"/>
  <c r="C80" i="1"/>
  <c r="B80" i="1"/>
  <c r="D80" i="1" s="1"/>
  <c r="E79" i="1"/>
  <c r="D79" i="1"/>
  <c r="C77" i="1"/>
  <c r="B77" i="1"/>
  <c r="E76" i="1"/>
  <c r="B76" i="1"/>
  <c r="D76" i="1" s="1"/>
  <c r="C75" i="1"/>
  <c r="B75" i="1"/>
  <c r="E75" i="1" s="1"/>
  <c r="C74" i="1"/>
  <c r="B74" i="1"/>
  <c r="E74" i="1" s="1"/>
  <c r="C73" i="1"/>
  <c r="B73" i="1"/>
  <c r="E73" i="1" s="1"/>
  <c r="C72" i="1"/>
  <c r="B72" i="1"/>
  <c r="E72" i="1" s="1"/>
  <c r="C71" i="1"/>
  <c r="B71" i="1"/>
  <c r="E71" i="1" s="1"/>
  <c r="C70" i="1"/>
  <c r="B70" i="1"/>
  <c r="E70" i="1" s="1"/>
  <c r="C68" i="1"/>
  <c r="B68" i="1"/>
  <c r="C67" i="1"/>
  <c r="B67" i="1"/>
  <c r="B78" i="1" s="1"/>
  <c r="C66" i="1"/>
  <c r="E65" i="1"/>
  <c r="D65" i="1"/>
  <c r="C64" i="1"/>
  <c r="C63" i="1"/>
  <c r="C62" i="1"/>
  <c r="B62" i="1"/>
  <c r="E61" i="1"/>
  <c r="B61" i="1"/>
  <c r="C60" i="1"/>
  <c r="E60" i="1" s="1"/>
  <c r="E59" i="1"/>
  <c r="D59" i="1"/>
  <c r="C57" i="1"/>
  <c r="B57" i="1"/>
  <c r="C56" i="1"/>
  <c r="B56" i="1"/>
  <c r="C55" i="1"/>
  <c r="B55" i="1"/>
  <c r="E54" i="1"/>
  <c r="D54" i="1"/>
  <c r="D52" i="1"/>
  <c r="C52" i="1"/>
  <c r="C53" i="1" s="1"/>
  <c r="B52" i="1"/>
  <c r="B53" i="1" s="1"/>
  <c r="E51" i="1"/>
  <c r="D51" i="1"/>
  <c r="C49" i="1"/>
  <c r="E49" i="1" s="1"/>
  <c r="B49" i="1"/>
  <c r="C48" i="1"/>
  <c r="B48" i="1"/>
  <c r="C47" i="1"/>
  <c r="E47" i="1" s="1"/>
  <c r="B47" i="1"/>
  <c r="C46" i="1"/>
  <c r="E46" i="1" s="1"/>
  <c r="B46" i="1"/>
  <c r="D46" i="1" s="1"/>
  <c r="C45" i="1"/>
  <c r="E45" i="1" s="1"/>
  <c r="B45" i="1"/>
  <c r="C44" i="1"/>
  <c r="E44" i="1" s="1"/>
  <c r="C43" i="1"/>
  <c r="B43" i="1"/>
  <c r="C42" i="1"/>
  <c r="B42" i="1"/>
  <c r="D42" i="1" s="1"/>
  <c r="C41" i="1"/>
  <c r="B41" i="1"/>
  <c r="C40" i="1"/>
  <c r="B40" i="1"/>
  <c r="D40" i="1" s="1"/>
  <c r="C39" i="1"/>
  <c r="B39" i="1"/>
  <c r="C38" i="1"/>
  <c r="C37" i="1"/>
  <c r="B37" i="1"/>
  <c r="C36" i="1"/>
  <c r="E36" i="1" s="1"/>
  <c r="B36" i="1"/>
  <c r="E35" i="1"/>
  <c r="D35" i="1"/>
  <c r="E31" i="1"/>
  <c r="B31" i="1"/>
  <c r="E30" i="1"/>
  <c r="B30" i="1"/>
  <c r="D30" i="1" s="1"/>
  <c r="C28" i="1"/>
  <c r="B28" i="1"/>
  <c r="D28" i="1" s="1"/>
  <c r="E27" i="1"/>
  <c r="C27" i="1"/>
  <c r="D27" i="1" s="1"/>
  <c r="E26" i="1"/>
  <c r="D26" i="1"/>
  <c r="C24" i="1"/>
  <c r="E24" i="1" s="1"/>
  <c r="E23" i="1"/>
  <c r="B23" i="1"/>
  <c r="D23" i="1" s="1"/>
  <c r="E22" i="1"/>
  <c r="D22" i="1"/>
  <c r="C21" i="1"/>
  <c r="E21" i="1" s="1"/>
  <c r="B21" i="1"/>
  <c r="C20" i="1"/>
  <c r="E20" i="1" s="1"/>
  <c r="B20" i="1"/>
  <c r="E19" i="1"/>
  <c r="D19" i="1"/>
  <c r="C17" i="1"/>
  <c r="C18" i="1" s="1"/>
  <c r="B17" i="1"/>
  <c r="E16" i="1"/>
  <c r="D16" i="1"/>
  <c r="E14" i="1"/>
  <c r="D14" i="1"/>
  <c r="C14" i="1"/>
  <c r="C13" i="1"/>
  <c r="E13" i="1" s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B15" i="1" s="1"/>
  <c r="E8" i="1"/>
  <c r="D8" i="1"/>
  <c r="D78" i="1" l="1"/>
  <c r="E48" i="1"/>
  <c r="E52" i="1"/>
  <c r="D60" i="1"/>
  <c r="E67" i="1"/>
  <c r="B87" i="1"/>
  <c r="B94" i="1"/>
  <c r="D39" i="1"/>
  <c r="D41" i="1"/>
  <c r="D43" i="1"/>
  <c r="D70" i="1"/>
  <c r="D71" i="1"/>
  <c r="D72" i="1"/>
  <c r="D73" i="1"/>
  <c r="D74" i="1"/>
  <c r="D75" i="1"/>
  <c r="D17" i="1"/>
  <c r="D37" i="1"/>
  <c r="D103" i="1"/>
  <c r="D20" i="1"/>
  <c r="E41" i="1"/>
  <c r="D44" i="1"/>
  <c r="D47" i="1"/>
  <c r="E105" i="1"/>
  <c r="E63" i="1"/>
  <c r="B29" i="1"/>
  <c r="E38" i="1"/>
  <c r="D38" i="1"/>
  <c r="E39" i="1"/>
  <c r="E42" i="1"/>
  <c r="D63" i="1"/>
  <c r="C15" i="1"/>
  <c r="D15" i="1" s="1"/>
  <c r="B18" i="1"/>
  <c r="D21" i="1"/>
  <c r="B24" i="1"/>
  <c r="E28" i="1"/>
  <c r="D31" i="1"/>
  <c r="E37" i="1"/>
  <c r="D48" i="1"/>
  <c r="C50" i="1"/>
  <c r="D55" i="1"/>
  <c r="D62" i="1"/>
  <c r="E53" i="1"/>
  <c r="D53" i="1"/>
  <c r="D57" i="1"/>
  <c r="E40" i="1"/>
  <c r="E43" i="1"/>
  <c r="D56" i="1"/>
  <c r="D13" i="1"/>
  <c r="E17" i="1"/>
  <c r="E18" i="1"/>
  <c r="C25" i="1"/>
  <c r="B50" i="1"/>
  <c r="D36" i="1"/>
  <c r="D45" i="1"/>
  <c r="D49" i="1"/>
  <c r="B58" i="1"/>
  <c r="B64" i="1"/>
  <c r="E64" i="1" s="1"/>
  <c r="D61" i="1"/>
  <c r="E62" i="1"/>
  <c r="C29" i="1"/>
  <c r="E55" i="1"/>
  <c r="E56" i="1"/>
  <c r="E57" i="1"/>
  <c r="C58" i="1"/>
  <c r="E66" i="1"/>
  <c r="D66" i="1"/>
  <c r="E77" i="1"/>
  <c r="D77" i="1"/>
  <c r="E86" i="1"/>
  <c r="D86" i="1"/>
  <c r="E85" i="1"/>
  <c r="D85" i="1"/>
  <c r="D104" i="1"/>
  <c r="B105" i="1"/>
  <c r="D67" i="1"/>
  <c r="E80" i="1"/>
  <c r="C87" i="1"/>
  <c r="D87" i="1" s="1"/>
  <c r="E89" i="1"/>
  <c r="C94" i="1"/>
  <c r="D94" i="1" s="1"/>
  <c r="E96" i="1"/>
  <c r="B98" i="1"/>
  <c r="E100" i="1"/>
  <c r="E108" i="1"/>
  <c r="C98" i="1"/>
  <c r="C106" i="1"/>
  <c r="C111" i="1"/>
  <c r="D111" i="1" s="1"/>
  <c r="D24" i="1" l="1"/>
  <c r="B25" i="1"/>
  <c r="D18" i="1"/>
  <c r="E111" i="1"/>
  <c r="D105" i="1"/>
  <c r="B106" i="1"/>
  <c r="E106" i="1" s="1"/>
  <c r="E87" i="1"/>
  <c r="D64" i="1"/>
  <c r="D50" i="1"/>
  <c r="B113" i="1"/>
  <c r="C32" i="1"/>
  <c r="E15" i="1"/>
  <c r="D29" i="1"/>
  <c r="E94" i="1"/>
  <c r="D98" i="1"/>
  <c r="E98" i="1"/>
  <c r="E58" i="1"/>
  <c r="E29" i="1"/>
  <c r="D58" i="1"/>
  <c r="C113" i="1"/>
  <c r="E50" i="1"/>
  <c r="C33" i="1" l="1"/>
  <c r="D25" i="1"/>
  <c r="B32" i="1"/>
  <c r="E32" i="1" s="1"/>
  <c r="E113" i="1"/>
  <c r="D113" i="1"/>
  <c r="E25" i="1"/>
  <c r="D106" i="1"/>
  <c r="C114" i="1" l="1"/>
  <c r="B33" i="1"/>
  <c r="E33" i="1" s="1"/>
  <c r="D32" i="1"/>
  <c r="C115" i="1" l="1"/>
  <c r="D33" i="1"/>
  <c r="B114" i="1"/>
  <c r="E114" i="1" s="1"/>
  <c r="D114" i="1" l="1"/>
  <c r="B115" i="1"/>
  <c r="D115" i="1" l="1"/>
  <c r="E115" i="1"/>
</calcChain>
</file>

<file path=xl/sharedStrings.xml><?xml version="1.0" encoding="utf-8"?>
<sst xmlns="http://schemas.openxmlformats.org/spreadsheetml/2006/main" count="122" uniqueCount="122">
  <si>
    <t>Chapter</t>
  </si>
  <si>
    <t>Actual</t>
  </si>
  <si>
    <t>Budget</t>
  </si>
  <si>
    <t>over Budget</t>
  </si>
  <si>
    <t>% of Budget</t>
  </si>
  <si>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</si>
  <si>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</si>
  <si>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</si>
  <si>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</si>
  <si>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 Current 2021</t>
  </si>
  <si>
    <t xml:space="preserve">      4126 Conference Profit 2020</t>
  </si>
  <si>
    <t xml:space="preserve">      4127 Pre-Conference Session Profit</t>
  </si>
  <si>
    <t xml:space="preserve">      4128 Extra Conference Profit 2016 for Allocation (deleted)</t>
  </si>
  <si>
    <t xml:space="preserve">   Total 4100 Dues &amp; Conference</t>
  </si>
  <si>
    <t xml:space="preserve">   4200 Administrative Income</t>
  </si>
  <si>
    <t xml:space="preserve">      4205 Extra Award Income</t>
  </si>
  <si>
    <t xml:space="preserve">   Total 4200 Administrative Income</t>
  </si>
  <si>
    <t xml:space="preserve">   4400 Professional Development Income</t>
  </si>
  <si>
    <t xml:space="preserve">      4405 AICP Publications (deleted)</t>
  </si>
  <si>
    <t xml:space="preserve">      4410 Webcast/Workshop Income</t>
  </si>
  <si>
    <t xml:space="preserve">      4420 Section-Wide Events Income</t>
  </si>
  <si>
    <t xml:space="preserve">         4438 Member Services Awards</t>
  </si>
  <si>
    <t xml:space="preserve">      Total 4420 Section-Wide Events Income</t>
  </si>
  <si>
    <t xml:space="preserve">   Total 4400 Professional Development Income</t>
  </si>
  <si>
    <t xml:space="preserve">   4500 Public Information Income</t>
  </si>
  <si>
    <t xml:space="preserve">      4510 News - Ads (deleted-1)</t>
  </si>
  <si>
    <t xml:space="preserve">      4520 Web Ads &amp; Newsletter Subscriptions</t>
  </si>
  <si>
    <t xml:space="preserve">   Total 4500 Public Information Income</t>
  </si>
  <si>
    <t xml:space="preserve">   4700 Annual Chapter Sponsorships</t>
  </si>
  <si>
    <t xml:space="preserve">   9200 Federal Tax Return (deleted)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</si>
  <si>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</si>
  <si>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</si>
  <si>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</si>
  <si>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</si>
  <si>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</si>
  <si>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</si>
  <si>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</si>
  <si>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</si>
  <si>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</si>
  <si>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5140 Telephone/Fax (deleted)</t>
  </si>
  <si>
    <t xml:space="preserve">      5145 Office Supplies (deleted)</t>
  </si>
  <si>
    <t xml:space="preserve">      5150 Postage (deleted)</t>
  </si>
  <si>
    <t xml:space="preserve">      5155 Dues &amp; Subscriptions (deleted)</t>
  </si>
  <si>
    <t xml:space="preserve">      5170 Storage (deleted)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</si>
  <si>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</si>
  <si>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</si>
  <si>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</si>
  <si>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 (deleted)</t>
  </si>
  <si>
    <t xml:space="preserve">   Total 5100 Operations Expense</t>
  </si>
  <si>
    <t xml:space="preserve">   5200 President Expense</t>
  </si>
  <si>
    <t xml:space="preserve">      5220 President-Elect/Past President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</si>
  <si>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</si>
  <si>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</si>
  <si>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</si>
  <si>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</si>
  <si>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</si>
  <si>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</si>
  <si>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Development</t>
  </si>
  <si>
    <t xml:space="preserve">      5402 Website Online Management (Francine)</t>
  </si>
  <si>
    <t xml:space="preserve">      5405 AICP Exam Chapter Scholar</t>
  </si>
  <si>
    <t xml:space="preserve">      5415 Statewide Webinars/Workshops</t>
  </si>
  <si>
    <t xml:space="preserve">      5420 AICP Exam Training/Preparation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</si>
  <si>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</si>
  <si>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</si>
  <si>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</si>
  <si>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Advertising &amp; Directory Maintenance - NHE</t>
  </si>
  <si>
    <t xml:space="preserve">      5515 News Distributions - ATEGO</t>
  </si>
  <si>
    <t xml:space="preserve">      5516 Newsletter</t>
  </si>
  <si>
    <t xml:space="preserve">      5520 Website &amp; Social Media</t>
  </si>
  <si>
    <t xml:space="preserve">      5521 News Production - Proofreader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</si>
  <si>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</si>
  <si>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</si>
  <si>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</si>
  <si>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</si>
  <si>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   5545 Website Redesign</t>
  </si>
  <si>
    <t xml:space="preserve">      5555 Other Public Information</t>
  </si>
  <si>
    <t xml:space="preserve">   Total 5500 Public Information Expense</t>
  </si>
  <si>
    <t xml:space="preserve">   5600 Administrative</t>
  </si>
  <si>
    <t xml:space="preserve">      5610 Awards</t>
  </si>
  <si>
    <t xml:space="preserve">      5615 Extra Award Expense (deleted)</t>
  </si>
  <si>
    <t xml:space="preserve">      5620 Bookkeeping/Accounting/Tax Services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</si>
  <si>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</si>
  <si>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</si>
  <si>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</si>
  <si>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5669 Future Expenditures (deleted)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</si>
  <si>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</si>
  <si>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</si>
  <si>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</si>
  <si>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</si>
  <si>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</si>
  <si>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5725 Section Chapter-Only Rebate</t>
  </si>
  <si>
    <t xml:space="preserve">      5730 Section Grants &amp; Projects/Extra 2016 Conf Profits (deleted)</t>
  </si>
  <si>
    <t xml:space="preserve">   Total 5700 Section Subventions</t>
  </si>
  <si>
    <t xml:space="preserve">   5900 Other Expenses</t>
  </si>
  <si>
    <t xml:space="preserve">      5915 CSUN Archives</t>
  </si>
  <si>
    <t xml:space="preserve">      5920 Miscellaneous Expense</t>
  </si>
  <si>
    <t xml:space="preserve">   Total 5900 Other Expenses</t>
  </si>
  <si>
    <t xml:space="preserve">   6200 Conferences</t>
  </si>
  <si>
    <t xml:space="preserve">      6205 VP Conference Expense</t>
  </si>
  <si>
    <t xml:space="preserve">      6480 Social Media</t>
  </si>
  <si>
    <t xml:space="preserve">         6481 Website</t>
  </si>
  <si>
    <t xml:space="preserve">            6481.1 Hosting</t>
  </si>
  <si>
    <t xml:space="preserve">         Total 6481 Website</t>
  </si>
  <si>
    <t xml:space="preserve">      Total 6480 Social Media</t>
  </si>
  <si>
    <t xml:space="preserve">   Total 6200 Conferences</t>
  </si>
  <si>
    <t xml:space="preserve">   6300 Marketing &amp; Membership</t>
  </si>
  <si>
    <t xml:space="preserve">      6310 VP Diversity &amp; Equity</t>
  </si>
  <si>
    <t xml:space="preserve">      6320 Great Places</t>
  </si>
  <si>
    <t xml:space="preserve">      6335 Membership Programs</t>
  </si>
  <si>
    <t xml:space="preserve">   Total 6300 Marketing &amp; Membership</t>
  </si>
  <si>
    <t xml:space="preserve">   6439 Pre-Conference Session Expenses</t>
  </si>
  <si>
    <t>Total Expenses</t>
  </si>
  <si>
    <t>Net Operating Income</t>
  </si>
  <si>
    <t>Net Income</t>
  </si>
  <si>
    <t>Monday, Jan 11, 2021 12:38:24 PM GMT-8 - Cash Basis</t>
  </si>
  <si>
    <t>American Planning Assoc. California Chapter</t>
  </si>
  <si>
    <t>Budget vs. Actuals: Chapter 2020 (REVISED) - FY20 P&amp;L  Classes</t>
  </si>
  <si>
    <t>January - December 2020</t>
  </si>
  <si>
    <t>Gran Designs $2558.33 per month.</t>
  </si>
  <si>
    <t>additional digital gear</t>
  </si>
  <si>
    <t>additional shipping</t>
  </si>
  <si>
    <t>Per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</si>
</sst>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"/>
  <sheetViews>
    <sheetView tabSelected="1" workbookViewId="0">
      <selection activeCell="F83" sqref="F83"/>
    </sheetView>
  </sheetViews>
  <sheetFormatPr defaultRowHeight="15" x14ac:dyDescent="0.25"/>
  <cols>
    <col min="1" max="1" width="61" customWidth="1"/>
    <col min="2" max="5" width="12" customWidth="1"/>
  </cols>
  <sheetData>
    <row r="1" spans="1:5" ht="18" x14ac:dyDescent="0.25">
      <c r="A1" s="15" t="s">
        <v>115</v>
      </c>
      <c r="B1" s="14"/>
      <c r="C1" s="14"/>
      <c r="D1" s="14"/>
      <c r="E1" s="14"/>
    </row>
    <row r="2" spans="1:5" ht="18" x14ac:dyDescent="0.25">
      <c r="A2" s="15" t="s">
        <v>116</v>
      </c>
      <c r="B2" s="14"/>
      <c r="C2" s="14"/>
      <c r="D2" s="14"/>
      <c r="E2" s="14"/>
    </row>
    <row r="3" spans="1:5" x14ac:dyDescent="0.25">
      <c r="A3" s="16" t="s">
        <v>117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3" si="0">(B8)-(C8)</f>
        <v>0</v>
      </c>
      <c r="E8" s="6" t="str">
        <f t="shared" ref="E8:E33" si="1">IF(C8=0,"",(B8)/(C8))</f>
        <v/>
      </c>
    </row>
    <row r="9" spans="1:5" x14ac:dyDescent="0.25">
      <c r="A9" s="3" t="s">
        <v>7</v>
      </c>
      <c r="B9" s="5">
        <f>370593.27</f>
        <v>370593.27</v>
      </c>
      <c r="C9" s="5">
        <f>380000</f>
        <v>380000</v>
      </c>
      <c r="D9" s="5">
        <f t="shared" si="0"/>
        <v>-9406.7299999999814</v>
      </c>
      <c r="E9" s="6">
        <f t="shared" si="1"/>
        <v>0.97524544736842111</v>
      </c>
    </row>
    <row r="10" spans="1:5" x14ac:dyDescent="0.25">
      <c r="A10" s="3" t="s">
        <v>8</v>
      </c>
      <c r="B10" s="5">
        <f>16765</f>
        <v>16765</v>
      </c>
      <c r="C10" s="5">
        <f>22000</f>
        <v>22000</v>
      </c>
      <c r="D10" s="5">
        <f t="shared" si="0"/>
        <v>-5235</v>
      </c>
      <c r="E10" s="6">
        <f t="shared" si="1"/>
        <v>0.76204545454545458</v>
      </c>
    </row>
    <row r="11" spans="1:5" x14ac:dyDescent="0.25">
      <c r="A11" s="3" t="s">
        <v>9</v>
      </c>
      <c r="B11" s="5">
        <f>120000</f>
        <v>120000</v>
      </c>
      <c r="C11" s="5">
        <f>120000</f>
        <v>120000</v>
      </c>
      <c r="D11" s="5">
        <f t="shared" si="0"/>
        <v>0</v>
      </c>
      <c r="E11" s="6">
        <f t="shared" si="1"/>
        <v>1</v>
      </c>
    </row>
    <row r="12" spans="1:5" x14ac:dyDescent="0.25">
      <c r="A12" s="3" t="s">
        <v>10</v>
      </c>
      <c r="B12" s="5">
        <f>152710.13</f>
        <v>152710.13</v>
      </c>
      <c r="C12" s="5">
        <f>54242</f>
        <v>54242</v>
      </c>
      <c r="D12" s="5">
        <f t="shared" si="0"/>
        <v>98468.13</v>
      </c>
      <c r="E12" s="6">
        <f t="shared" si="1"/>
        <v>2.8153484384794072</v>
      </c>
    </row>
    <row r="13" spans="1:5" x14ac:dyDescent="0.25">
      <c r="A13" s="3" t="s">
        <v>11</v>
      </c>
      <c r="B13" s="4"/>
      <c r="C13" s="5">
        <f>3000</f>
        <v>3000</v>
      </c>
      <c r="D13" s="5">
        <f t="shared" si="0"/>
        <v>-3000</v>
      </c>
      <c r="E13" s="6">
        <f t="shared" si="1"/>
        <v>0</v>
      </c>
    </row>
    <row r="14" spans="1:5" x14ac:dyDescent="0.25">
      <c r="A14" s="3" t="s">
        <v>12</v>
      </c>
      <c r="B14" s="4"/>
      <c r="C14" s="5">
        <f>28100</f>
        <v>28100</v>
      </c>
      <c r="D14" s="5">
        <f t="shared" si="0"/>
        <v>-28100</v>
      </c>
      <c r="E14" s="6">
        <f t="shared" si="1"/>
        <v>0</v>
      </c>
    </row>
    <row r="15" spans="1:5" x14ac:dyDescent="0.25">
      <c r="A15" s="3" t="s">
        <v>13</v>
      </c>
      <c r="B15" s="7">
        <f>((((((B8)+(B9))+(B10))+(B11))+(B12))+(B13))+(B14)</f>
        <v>660068.4</v>
      </c>
      <c r="C15" s="7">
        <f>((((((C8)+(C9))+(C10))+(C11))+(C12))+(C13))+(C14)</f>
        <v>607342</v>
      </c>
      <c r="D15" s="7">
        <f t="shared" si="0"/>
        <v>52726.400000000023</v>
      </c>
      <c r="E15" s="8">
        <f t="shared" si="1"/>
        <v>1.0868150070306353</v>
      </c>
    </row>
    <row r="16" spans="1:5" x14ac:dyDescent="0.25">
      <c r="A16" s="3" t="s">
        <v>14</v>
      </c>
      <c r="B16" s="4"/>
      <c r="C16" s="4"/>
      <c r="D16" s="5">
        <f t="shared" si="0"/>
        <v>0</v>
      </c>
      <c r="E16" s="6" t="str">
        <f t="shared" si="1"/>
        <v/>
      </c>
    </row>
    <row r="17" spans="1:5" x14ac:dyDescent="0.25">
      <c r="A17" s="3" t="s">
        <v>15</v>
      </c>
      <c r="B17" s="5">
        <f>375</f>
        <v>375</v>
      </c>
      <c r="C17" s="5">
        <f>500</f>
        <v>500</v>
      </c>
      <c r="D17" s="5">
        <f t="shared" si="0"/>
        <v>-125</v>
      </c>
      <c r="E17" s="6">
        <f t="shared" si="1"/>
        <v>0.75</v>
      </c>
    </row>
    <row r="18" spans="1:5" x14ac:dyDescent="0.25">
      <c r="A18" s="3" t="s">
        <v>16</v>
      </c>
      <c r="B18" s="7">
        <f>(B16)+(B17)</f>
        <v>375</v>
      </c>
      <c r="C18" s="7">
        <f>(C16)+(C17)</f>
        <v>500</v>
      </c>
      <c r="D18" s="7">
        <f t="shared" si="0"/>
        <v>-125</v>
      </c>
      <c r="E18" s="8">
        <f t="shared" si="1"/>
        <v>0.75</v>
      </c>
    </row>
    <row r="19" spans="1:5" x14ac:dyDescent="0.25">
      <c r="A19" s="3" t="s">
        <v>17</v>
      </c>
      <c r="B19" s="4"/>
      <c r="C19" s="4"/>
      <c r="D19" s="5">
        <f t="shared" si="0"/>
        <v>0</v>
      </c>
      <c r="E19" s="6" t="str">
        <f t="shared" si="1"/>
        <v/>
      </c>
    </row>
    <row r="20" spans="1:5" x14ac:dyDescent="0.25">
      <c r="A20" s="3" t="s">
        <v>18</v>
      </c>
      <c r="B20" s="5">
        <f>950</f>
        <v>950</v>
      </c>
      <c r="C20" s="5">
        <f>150</f>
        <v>150</v>
      </c>
      <c r="D20" s="5">
        <f t="shared" si="0"/>
        <v>800</v>
      </c>
      <c r="E20" s="6">
        <f t="shared" si="1"/>
        <v>6.333333333333333</v>
      </c>
    </row>
    <row r="21" spans="1:5" x14ac:dyDescent="0.25">
      <c r="A21" s="3" t="s">
        <v>19</v>
      </c>
      <c r="B21" s="5">
        <f>4140</f>
        <v>4140</v>
      </c>
      <c r="C21" s="5">
        <f>6000</f>
        <v>6000</v>
      </c>
      <c r="D21" s="5">
        <f t="shared" si="0"/>
        <v>-1860</v>
      </c>
      <c r="E21" s="6">
        <f t="shared" si="1"/>
        <v>0.69</v>
      </c>
    </row>
    <row r="22" spans="1:5" x14ac:dyDescent="0.25">
      <c r="A22" s="3" t="s">
        <v>20</v>
      </c>
      <c r="B22" s="4"/>
      <c r="C22" s="4"/>
      <c r="D22" s="5">
        <f t="shared" si="0"/>
        <v>0</v>
      </c>
      <c r="E22" s="6" t="str">
        <f t="shared" si="1"/>
        <v/>
      </c>
    </row>
    <row r="23" spans="1:5" x14ac:dyDescent="0.25">
      <c r="A23" s="3" t="s">
        <v>21</v>
      </c>
      <c r="B23" s="5">
        <f>525</f>
        <v>525</v>
      </c>
      <c r="C23" s="4"/>
      <c r="D23" s="5">
        <f t="shared" si="0"/>
        <v>525</v>
      </c>
      <c r="E23" s="6" t="str">
        <f t="shared" si="1"/>
        <v/>
      </c>
    </row>
    <row r="24" spans="1:5" x14ac:dyDescent="0.25">
      <c r="A24" s="3" t="s">
        <v>22</v>
      </c>
      <c r="B24" s="7">
        <f>(B22)+(B23)</f>
        <v>525</v>
      </c>
      <c r="C24" s="7">
        <f>(C22)+(C23)</f>
        <v>0</v>
      </c>
      <c r="D24" s="7">
        <f t="shared" si="0"/>
        <v>525</v>
      </c>
      <c r="E24" s="8" t="str">
        <f t="shared" si="1"/>
        <v/>
      </c>
    </row>
    <row r="25" spans="1:5" x14ac:dyDescent="0.25">
      <c r="A25" s="3" t="s">
        <v>23</v>
      </c>
      <c r="B25" s="7">
        <f>(((B19)+(B20))+(B21))+(B24)</f>
        <v>5615</v>
      </c>
      <c r="C25" s="7">
        <f>(((C19)+(C20))+(C21))+(C24)</f>
        <v>6150</v>
      </c>
      <c r="D25" s="7">
        <f t="shared" si="0"/>
        <v>-535</v>
      </c>
      <c r="E25" s="8">
        <f t="shared" si="1"/>
        <v>0.91300813008130077</v>
      </c>
    </row>
    <row r="26" spans="1:5" x14ac:dyDescent="0.25">
      <c r="A26" s="3" t="s">
        <v>24</v>
      </c>
      <c r="B26" s="4"/>
      <c r="C26" s="4"/>
      <c r="D26" s="5">
        <f t="shared" si="0"/>
        <v>0</v>
      </c>
      <c r="E26" s="6" t="str">
        <f t="shared" si="1"/>
        <v/>
      </c>
    </row>
    <row r="27" spans="1:5" x14ac:dyDescent="0.25">
      <c r="A27" s="3" t="s">
        <v>25</v>
      </c>
      <c r="B27" s="4"/>
      <c r="C27" s="5">
        <f>2000</f>
        <v>2000</v>
      </c>
      <c r="D27" s="5">
        <f t="shared" si="0"/>
        <v>-2000</v>
      </c>
      <c r="E27" s="6">
        <f t="shared" si="1"/>
        <v>0</v>
      </c>
    </row>
    <row r="28" spans="1:5" x14ac:dyDescent="0.25">
      <c r="A28" s="3" t="s">
        <v>26</v>
      </c>
      <c r="B28" s="5">
        <f>36365</f>
        <v>36365</v>
      </c>
      <c r="C28" s="5">
        <f>58000</f>
        <v>58000</v>
      </c>
      <c r="D28" s="5">
        <f t="shared" si="0"/>
        <v>-21635</v>
      </c>
      <c r="E28" s="6">
        <f t="shared" si="1"/>
        <v>0.62698275862068964</v>
      </c>
    </row>
    <row r="29" spans="1:5" x14ac:dyDescent="0.25">
      <c r="A29" s="3" t="s">
        <v>27</v>
      </c>
      <c r="B29" s="7">
        <f>((B26)+(B27))+(B28)</f>
        <v>36365</v>
      </c>
      <c r="C29" s="7">
        <f>((C26)+(C27))+(C28)</f>
        <v>60000</v>
      </c>
      <c r="D29" s="7">
        <f t="shared" si="0"/>
        <v>-23635</v>
      </c>
      <c r="E29" s="8">
        <f t="shared" si="1"/>
        <v>0.60608333333333331</v>
      </c>
    </row>
    <row r="30" spans="1:5" x14ac:dyDescent="0.25">
      <c r="A30" s="3" t="s">
        <v>28</v>
      </c>
      <c r="B30" s="5">
        <f>6000</f>
        <v>6000</v>
      </c>
      <c r="C30" s="4"/>
      <c r="D30" s="5">
        <f t="shared" si="0"/>
        <v>6000</v>
      </c>
      <c r="E30" s="6" t="str">
        <f t="shared" si="1"/>
        <v/>
      </c>
    </row>
    <row r="31" spans="1:5" x14ac:dyDescent="0.25">
      <c r="A31" s="3" t="s">
        <v>29</v>
      </c>
      <c r="B31" s="5">
        <f>14.06</f>
        <v>14.06</v>
      </c>
      <c r="C31" s="4"/>
      <c r="D31" s="5">
        <f t="shared" si="0"/>
        <v>14.06</v>
      </c>
      <c r="E31" s="6" t="str">
        <f t="shared" si="1"/>
        <v/>
      </c>
    </row>
    <row r="32" spans="1:5" x14ac:dyDescent="0.25">
      <c r="A32" s="3" t="s">
        <v>30</v>
      </c>
      <c r="B32" s="7">
        <f>(((((B15)+(B18))+(B25))+(B29))+(B30))+(B31)</f>
        <v>708437.46000000008</v>
      </c>
      <c r="C32" s="7">
        <f>(((((C15)+(C18))+(C25))+(C29))+(C30))+(C31)</f>
        <v>673992</v>
      </c>
      <c r="D32" s="7">
        <f t="shared" si="0"/>
        <v>34445.460000000079</v>
      </c>
      <c r="E32" s="8">
        <f t="shared" si="1"/>
        <v>1.0511066303457608</v>
      </c>
    </row>
    <row r="33" spans="1:5" x14ac:dyDescent="0.25">
      <c r="A33" s="3" t="s">
        <v>31</v>
      </c>
      <c r="B33" s="7">
        <f>(B32)-(0)</f>
        <v>708437.46000000008</v>
      </c>
      <c r="C33" s="7">
        <f>(C32)-(0)</f>
        <v>673992</v>
      </c>
      <c r="D33" s="7">
        <f t="shared" si="0"/>
        <v>34445.460000000079</v>
      </c>
      <c r="E33" s="8">
        <f t="shared" si="1"/>
        <v>1.0511066303457608</v>
      </c>
    </row>
    <row r="34" spans="1:5" x14ac:dyDescent="0.25">
      <c r="A34" s="3" t="s">
        <v>32</v>
      </c>
      <c r="B34" s="4"/>
      <c r="C34" s="4"/>
      <c r="D34" s="4"/>
      <c r="E34" s="4"/>
    </row>
    <row r="35" spans="1:5" x14ac:dyDescent="0.25">
      <c r="A35" s="3" t="s">
        <v>33</v>
      </c>
      <c r="B35" s="4"/>
      <c r="C35" s="4"/>
      <c r="D35" s="5">
        <f t="shared" ref="D35:D66" si="2">(B35)-(C35)</f>
        <v>0</v>
      </c>
      <c r="E35" s="6" t="str">
        <f t="shared" ref="E35:E66" si="3">IF(C35=0,"",(B35)/(C35))</f>
        <v/>
      </c>
    </row>
    <row r="36" spans="1:5" x14ac:dyDescent="0.25">
      <c r="A36" s="3" t="s">
        <v>34</v>
      </c>
      <c r="B36" s="5">
        <f>66000</f>
        <v>66000</v>
      </c>
      <c r="C36" s="5">
        <f>66000</f>
        <v>66000</v>
      </c>
      <c r="D36" s="5">
        <f t="shared" si="2"/>
        <v>0</v>
      </c>
      <c r="E36" s="6">
        <f t="shared" si="3"/>
        <v>1</v>
      </c>
    </row>
    <row r="37" spans="1:5" x14ac:dyDescent="0.25">
      <c r="A37" s="3" t="s">
        <v>35</v>
      </c>
      <c r="B37" s="5">
        <f>481.43</f>
        <v>481.43</v>
      </c>
      <c r="C37" s="5">
        <f>650</f>
        <v>650</v>
      </c>
      <c r="D37" s="5">
        <f t="shared" si="2"/>
        <v>-168.57</v>
      </c>
      <c r="E37" s="6">
        <f t="shared" si="3"/>
        <v>0.74066153846153848</v>
      </c>
    </row>
    <row r="38" spans="1:5" x14ac:dyDescent="0.25">
      <c r="A38" s="3" t="s">
        <v>36</v>
      </c>
      <c r="B38" s="4"/>
      <c r="C38" s="5">
        <f>10000</f>
        <v>10000</v>
      </c>
      <c r="D38" s="5">
        <f t="shared" si="2"/>
        <v>-10000</v>
      </c>
      <c r="E38" s="6">
        <f t="shared" si="3"/>
        <v>0</v>
      </c>
    </row>
    <row r="39" spans="1:5" x14ac:dyDescent="0.25">
      <c r="A39" s="3" t="s">
        <v>37</v>
      </c>
      <c r="B39" s="5">
        <f>842.37</f>
        <v>842.37</v>
      </c>
      <c r="C39" s="5">
        <f>1000</f>
        <v>1000</v>
      </c>
      <c r="D39" s="5">
        <f t="shared" si="2"/>
        <v>-157.63</v>
      </c>
      <c r="E39" s="6">
        <f t="shared" si="3"/>
        <v>0.84236999999999995</v>
      </c>
    </row>
    <row r="40" spans="1:5" x14ac:dyDescent="0.25">
      <c r="A40" s="3" t="s">
        <v>38</v>
      </c>
      <c r="B40" s="5">
        <f>17472.43</f>
        <v>17472.43</v>
      </c>
      <c r="C40" s="5">
        <f>18000</f>
        <v>18000</v>
      </c>
      <c r="D40" s="5">
        <f t="shared" si="2"/>
        <v>-527.56999999999971</v>
      </c>
      <c r="E40" s="6">
        <f t="shared" si="3"/>
        <v>0.97069055555555561</v>
      </c>
    </row>
    <row r="41" spans="1:5" x14ac:dyDescent="0.25">
      <c r="A41" s="3" t="s">
        <v>39</v>
      </c>
      <c r="B41" s="5">
        <f>1200</f>
        <v>1200</v>
      </c>
      <c r="C41" s="5">
        <f>1300</f>
        <v>1300</v>
      </c>
      <c r="D41" s="5">
        <f t="shared" si="2"/>
        <v>-100</v>
      </c>
      <c r="E41" s="6">
        <f t="shared" si="3"/>
        <v>0.92307692307692313</v>
      </c>
    </row>
    <row r="42" spans="1:5" x14ac:dyDescent="0.25">
      <c r="A42" s="3" t="s">
        <v>40</v>
      </c>
      <c r="B42" s="5">
        <f>1054.53</f>
        <v>1054.53</v>
      </c>
      <c r="C42" s="5">
        <f>1600</f>
        <v>1600</v>
      </c>
      <c r="D42" s="5">
        <f t="shared" si="2"/>
        <v>-545.47</v>
      </c>
      <c r="E42" s="6">
        <f t="shared" si="3"/>
        <v>0.65908124999999995</v>
      </c>
    </row>
    <row r="43" spans="1:5" x14ac:dyDescent="0.25">
      <c r="A43" s="3" t="s">
        <v>41</v>
      </c>
      <c r="B43" s="5">
        <f>178.19</f>
        <v>178.19</v>
      </c>
      <c r="C43" s="5">
        <f>700</f>
        <v>700</v>
      </c>
      <c r="D43" s="5">
        <f t="shared" si="2"/>
        <v>-521.80999999999995</v>
      </c>
      <c r="E43" s="6">
        <f t="shared" si="3"/>
        <v>0.25455714285714287</v>
      </c>
    </row>
    <row r="44" spans="1:5" x14ac:dyDescent="0.25">
      <c r="A44" s="3" t="s">
        <v>42</v>
      </c>
      <c r="B44" s="4"/>
      <c r="C44" s="5">
        <f>60</f>
        <v>60</v>
      </c>
      <c r="D44" s="5">
        <f t="shared" si="2"/>
        <v>-60</v>
      </c>
      <c r="E44" s="6">
        <f t="shared" si="3"/>
        <v>0</v>
      </c>
    </row>
    <row r="45" spans="1:5" x14ac:dyDescent="0.25">
      <c r="A45" s="3" t="s">
        <v>43</v>
      </c>
      <c r="B45" s="5">
        <f>2100</f>
        <v>2100</v>
      </c>
      <c r="C45" s="5">
        <f>2100</f>
        <v>2100</v>
      </c>
      <c r="D45" s="5">
        <f t="shared" si="2"/>
        <v>0</v>
      </c>
      <c r="E45" s="6">
        <f t="shared" si="3"/>
        <v>1</v>
      </c>
    </row>
    <row r="46" spans="1:5" x14ac:dyDescent="0.25">
      <c r="A46" s="3" t="s">
        <v>44</v>
      </c>
      <c r="B46" s="5">
        <f>3271.26</f>
        <v>3271.26</v>
      </c>
      <c r="C46" s="5">
        <f>4000</f>
        <v>4000</v>
      </c>
      <c r="D46" s="5">
        <f t="shared" si="2"/>
        <v>-728.73999999999978</v>
      </c>
      <c r="E46" s="6">
        <f t="shared" si="3"/>
        <v>0.81781500000000007</v>
      </c>
    </row>
    <row r="47" spans="1:5" x14ac:dyDescent="0.25">
      <c r="A47" s="3" t="s">
        <v>45</v>
      </c>
      <c r="B47" s="5">
        <f>27000</f>
        <v>27000</v>
      </c>
      <c r="C47" s="5">
        <f>27000</f>
        <v>27000</v>
      </c>
      <c r="D47" s="5">
        <f t="shared" si="2"/>
        <v>0</v>
      </c>
      <c r="E47" s="6">
        <f t="shared" si="3"/>
        <v>1</v>
      </c>
    </row>
    <row r="48" spans="1:5" x14ac:dyDescent="0.25">
      <c r="A48" s="3" t="s">
        <v>46</v>
      </c>
      <c r="B48" s="5">
        <f>34979.13</f>
        <v>34979.129999999997</v>
      </c>
      <c r="C48" s="5">
        <f>36500</f>
        <v>36500</v>
      </c>
      <c r="D48" s="5">
        <f t="shared" si="2"/>
        <v>-1520.8700000000026</v>
      </c>
      <c r="E48" s="6">
        <f t="shared" si="3"/>
        <v>0.95833232876712326</v>
      </c>
    </row>
    <row r="49" spans="1:5" x14ac:dyDescent="0.25">
      <c r="A49" s="3" t="s">
        <v>47</v>
      </c>
      <c r="B49" s="5">
        <f>102.48</f>
        <v>102.48</v>
      </c>
      <c r="C49" s="5">
        <f>115</f>
        <v>115</v>
      </c>
      <c r="D49" s="5">
        <f t="shared" si="2"/>
        <v>-12.519999999999996</v>
      </c>
      <c r="E49" s="6">
        <f t="shared" si="3"/>
        <v>0.89113043478260878</v>
      </c>
    </row>
    <row r="50" spans="1:5" x14ac:dyDescent="0.25">
      <c r="A50" s="3" t="s">
        <v>48</v>
      </c>
      <c r="B50" s="7">
        <f>((((((((((((((B35)+(B36))+(B37))+(B38))+(B39))+(B40))+(B41))+(B42))+(B43))+(B44))+(B45))+(B46))+(B47))+(B48))+(B49)</f>
        <v>154681.81999999998</v>
      </c>
      <c r="C50" s="7">
        <f>((((((((((((((C35)+(C36))+(C37))+(C38))+(C39))+(C40))+(C41))+(C42))+(C43))+(C44))+(C45))+(C46))+(C47))+(C48))+(C49)</f>
        <v>169025</v>
      </c>
      <c r="D50" s="7">
        <f t="shared" si="2"/>
        <v>-14343.180000000022</v>
      </c>
      <c r="E50" s="8">
        <f t="shared" si="3"/>
        <v>0.91514166543410724</v>
      </c>
    </row>
    <row r="51" spans="1:5" x14ac:dyDescent="0.25">
      <c r="A51" s="3" t="s">
        <v>49</v>
      </c>
      <c r="B51" s="4"/>
      <c r="C51" s="4"/>
      <c r="D51" s="5">
        <f t="shared" si="2"/>
        <v>0</v>
      </c>
      <c r="E51" s="6" t="str">
        <f t="shared" si="3"/>
        <v/>
      </c>
    </row>
    <row r="52" spans="1:5" x14ac:dyDescent="0.25">
      <c r="A52" s="3" t="s">
        <v>50</v>
      </c>
      <c r="B52" s="5">
        <f>96.46</f>
        <v>96.46</v>
      </c>
      <c r="C52" s="5">
        <f>100</f>
        <v>100</v>
      </c>
      <c r="D52" s="5">
        <f t="shared" si="2"/>
        <v>-3.5400000000000063</v>
      </c>
      <c r="E52" s="6">
        <f t="shared" si="3"/>
        <v>0.9645999999999999</v>
      </c>
    </row>
    <row r="53" spans="1:5" x14ac:dyDescent="0.25">
      <c r="A53" s="3" t="s">
        <v>51</v>
      </c>
      <c r="B53" s="7">
        <f>(B51)+(B52)</f>
        <v>96.46</v>
      </c>
      <c r="C53" s="7">
        <f>(C51)+(C52)</f>
        <v>100</v>
      </c>
      <c r="D53" s="7">
        <f t="shared" si="2"/>
        <v>-3.5400000000000063</v>
      </c>
      <c r="E53" s="8">
        <f t="shared" si="3"/>
        <v>0.9645999999999999</v>
      </c>
    </row>
    <row r="54" spans="1:5" x14ac:dyDescent="0.25">
      <c r="A54" s="3" t="s">
        <v>52</v>
      </c>
      <c r="B54" s="4"/>
      <c r="C54" s="4"/>
      <c r="D54" s="5">
        <f t="shared" si="2"/>
        <v>0</v>
      </c>
      <c r="E54" s="6" t="str">
        <f t="shared" si="3"/>
        <v/>
      </c>
    </row>
    <row r="55" spans="1:5" x14ac:dyDescent="0.25">
      <c r="A55" s="3" t="s">
        <v>53</v>
      </c>
      <c r="B55" s="5">
        <f>96000</f>
        <v>96000</v>
      </c>
      <c r="C55" s="5">
        <f>96000</f>
        <v>96000</v>
      </c>
      <c r="D55" s="5">
        <f t="shared" si="2"/>
        <v>0</v>
      </c>
      <c r="E55" s="6">
        <f t="shared" si="3"/>
        <v>1</v>
      </c>
    </row>
    <row r="56" spans="1:5" x14ac:dyDescent="0.25">
      <c r="A56" s="3" t="s">
        <v>54</v>
      </c>
      <c r="B56" s="5">
        <f>873.6</f>
        <v>873.6</v>
      </c>
      <c r="C56" s="5">
        <f>1000</f>
        <v>1000</v>
      </c>
      <c r="D56" s="5">
        <f t="shared" si="2"/>
        <v>-126.39999999999998</v>
      </c>
      <c r="E56" s="6">
        <f t="shared" si="3"/>
        <v>0.87360000000000004</v>
      </c>
    </row>
    <row r="57" spans="1:5" x14ac:dyDescent="0.25">
      <c r="A57" s="3" t="s">
        <v>55</v>
      </c>
      <c r="B57" s="5">
        <f>35.46</f>
        <v>35.46</v>
      </c>
      <c r="C57" s="5">
        <f>100</f>
        <v>100</v>
      </c>
      <c r="D57" s="5">
        <f t="shared" si="2"/>
        <v>-64.539999999999992</v>
      </c>
      <c r="E57" s="6">
        <f t="shared" si="3"/>
        <v>0.35460000000000003</v>
      </c>
    </row>
    <row r="58" spans="1:5" x14ac:dyDescent="0.25">
      <c r="A58" s="3" t="s">
        <v>56</v>
      </c>
      <c r="B58" s="7">
        <f>(((B54)+(B55))+(B56))+(B57)</f>
        <v>96909.060000000012</v>
      </c>
      <c r="C58" s="7">
        <f>(((C54)+(C55))+(C56))+(C57)</f>
        <v>97100</v>
      </c>
      <c r="D58" s="7">
        <f t="shared" si="2"/>
        <v>-190.93999999998778</v>
      </c>
      <c r="E58" s="8">
        <f t="shared" si="3"/>
        <v>0.99803357363542755</v>
      </c>
    </row>
    <row r="59" spans="1:5" x14ac:dyDescent="0.25">
      <c r="A59" s="3" t="s">
        <v>57</v>
      </c>
      <c r="B59" s="4"/>
      <c r="C59" s="4"/>
      <c r="D59" s="5">
        <f t="shared" si="2"/>
        <v>0</v>
      </c>
      <c r="E59" s="6" t="str">
        <f t="shared" si="3"/>
        <v/>
      </c>
    </row>
    <row r="60" spans="1:5" x14ac:dyDescent="0.25">
      <c r="A60" s="3" t="s">
        <v>58</v>
      </c>
      <c r="B60" s="4"/>
      <c r="C60" s="5">
        <f>1500</f>
        <v>1500</v>
      </c>
      <c r="D60" s="5">
        <f t="shared" si="2"/>
        <v>-1500</v>
      </c>
      <c r="E60" s="6">
        <f t="shared" si="3"/>
        <v>0</v>
      </c>
    </row>
    <row r="61" spans="1:5" x14ac:dyDescent="0.25">
      <c r="A61" s="3" t="s">
        <v>59</v>
      </c>
      <c r="B61" s="5">
        <f>84</f>
        <v>84</v>
      </c>
      <c r="C61" s="4"/>
      <c r="D61" s="5">
        <f t="shared" si="2"/>
        <v>84</v>
      </c>
      <c r="E61" s="6" t="str">
        <f t="shared" si="3"/>
        <v/>
      </c>
    </row>
    <row r="62" spans="1:5" x14ac:dyDescent="0.25">
      <c r="A62" s="3" t="s">
        <v>60</v>
      </c>
      <c r="B62" s="5">
        <f>3557.96</f>
        <v>3557.96</v>
      </c>
      <c r="C62" s="5">
        <f>6000</f>
        <v>6000</v>
      </c>
      <c r="D62" s="5">
        <f t="shared" si="2"/>
        <v>-2442.04</v>
      </c>
      <c r="E62" s="6">
        <f t="shared" si="3"/>
        <v>0.59299333333333337</v>
      </c>
    </row>
    <row r="63" spans="1:5" x14ac:dyDescent="0.25">
      <c r="A63" s="3" t="s">
        <v>61</v>
      </c>
      <c r="B63" s="4"/>
      <c r="C63" s="5">
        <f>200</f>
        <v>200</v>
      </c>
      <c r="D63" s="5">
        <f t="shared" si="2"/>
        <v>-200</v>
      </c>
      <c r="E63" s="6">
        <f t="shared" si="3"/>
        <v>0</v>
      </c>
    </row>
    <row r="64" spans="1:5" x14ac:dyDescent="0.25">
      <c r="A64" s="3" t="s">
        <v>62</v>
      </c>
      <c r="B64" s="7">
        <f>((((B59)+(B60))+(B61))+(B62))+(B63)</f>
        <v>3641.96</v>
      </c>
      <c r="C64" s="7">
        <f>((((C59)+(C60))+(C61))+(C62))+(C63)</f>
        <v>7700</v>
      </c>
      <c r="D64" s="7">
        <f t="shared" si="2"/>
        <v>-4058.04</v>
      </c>
      <c r="E64" s="8">
        <f t="shared" si="3"/>
        <v>0.47298181818181817</v>
      </c>
    </row>
    <row r="65" spans="1:6" x14ac:dyDescent="0.25">
      <c r="A65" s="3" t="s">
        <v>63</v>
      </c>
      <c r="B65" s="4"/>
      <c r="C65" s="4"/>
      <c r="D65" s="5">
        <f t="shared" si="2"/>
        <v>0</v>
      </c>
      <c r="E65" s="6" t="str">
        <f t="shared" si="3"/>
        <v/>
      </c>
    </row>
    <row r="66" spans="1:6" x14ac:dyDescent="0.25">
      <c r="A66" s="3" t="s">
        <v>64</v>
      </c>
      <c r="B66" s="4"/>
      <c r="C66" s="5">
        <f>250</f>
        <v>250</v>
      </c>
      <c r="D66" s="5">
        <f t="shared" si="2"/>
        <v>-250</v>
      </c>
      <c r="E66" s="6">
        <f t="shared" si="3"/>
        <v>0</v>
      </c>
    </row>
    <row r="67" spans="1:6" x14ac:dyDescent="0.25">
      <c r="A67" s="3" t="s">
        <v>65</v>
      </c>
      <c r="B67" s="5">
        <f>9583.27</f>
        <v>9583.27</v>
      </c>
      <c r="C67" s="5">
        <f>10000</f>
        <v>10000</v>
      </c>
      <c r="D67" s="5">
        <f t="shared" ref="D67:D98" si="4">(B67)-(C67)</f>
        <v>-416.72999999999956</v>
      </c>
      <c r="E67" s="6">
        <f t="shared" ref="E67:E98" si="5">IF(C67=0,"",(B67)/(C67))</f>
        <v>0.95832700000000004</v>
      </c>
    </row>
    <row r="68" spans="1:6" x14ac:dyDescent="0.25">
      <c r="A68" s="3" t="s">
        <v>66</v>
      </c>
      <c r="B68" s="5">
        <f>5000.04</f>
        <v>5000.04</v>
      </c>
      <c r="C68" s="5">
        <f>5000</f>
        <v>5000</v>
      </c>
      <c r="D68" s="5">
        <f t="shared" ref="D68" si="6">(B68)-(C68)</f>
        <v>3.999999999996362E-2</v>
      </c>
      <c r="E68" s="6">
        <f t="shared" ref="E68" si="7">IF(C68=0,"",(B68)/(C68))</f>
        <v>1.000008</v>
      </c>
    </row>
    <row r="69" spans="1:6" x14ac:dyDescent="0.25">
      <c r="A69" s="3" t="s">
        <v>67</v>
      </c>
      <c r="B69" s="4"/>
    </row>
    <row r="70" spans="1:6" x14ac:dyDescent="0.25">
      <c r="A70" s="3" t="s">
        <v>68</v>
      </c>
      <c r="B70" s="5">
        <f>30699.96</f>
        <v>30699.96</v>
      </c>
      <c r="C70" s="5">
        <f>29200</f>
        <v>29200</v>
      </c>
      <c r="D70" s="5">
        <f t="shared" si="4"/>
        <v>1499.9599999999991</v>
      </c>
      <c r="E70" s="6">
        <f t="shared" si="5"/>
        <v>1.0513684931506848</v>
      </c>
      <c r="F70" t="s">
        <v>118</v>
      </c>
    </row>
    <row r="71" spans="1:6" x14ac:dyDescent="0.25">
      <c r="A71" s="3" t="s">
        <v>69</v>
      </c>
      <c r="B71" s="5">
        <f>3570</f>
        <v>3570</v>
      </c>
      <c r="C71" s="5">
        <f>2100</f>
        <v>2100</v>
      </c>
      <c r="D71" s="5">
        <f t="shared" si="4"/>
        <v>1470</v>
      </c>
      <c r="E71" s="6">
        <f t="shared" si="5"/>
        <v>1.7</v>
      </c>
    </row>
    <row r="72" spans="1:6" x14ac:dyDescent="0.25">
      <c r="A72" s="3" t="s">
        <v>70</v>
      </c>
      <c r="B72" s="5">
        <f>4999.97</f>
        <v>4999.97</v>
      </c>
      <c r="C72" s="5">
        <f>5000</f>
        <v>5000</v>
      </c>
      <c r="D72" s="5">
        <f t="shared" si="4"/>
        <v>-2.9999999999745341E-2</v>
      </c>
      <c r="E72" s="6">
        <f t="shared" si="5"/>
        <v>0.99999400000000005</v>
      </c>
    </row>
    <row r="73" spans="1:6" x14ac:dyDescent="0.25">
      <c r="A73" s="3" t="s">
        <v>71</v>
      </c>
      <c r="B73" s="5">
        <f>4791.64</f>
        <v>4791.6400000000003</v>
      </c>
      <c r="C73" s="5">
        <f>5000</f>
        <v>5000</v>
      </c>
      <c r="D73" s="5">
        <f t="shared" si="4"/>
        <v>-208.35999999999967</v>
      </c>
      <c r="E73" s="6">
        <f t="shared" si="5"/>
        <v>0.95832800000000007</v>
      </c>
    </row>
    <row r="74" spans="1:6" x14ac:dyDescent="0.25">
      <c r="A74" s="3" t="s">
        <v>72</v>
      </c>
      <c r="B74" s="5">
        <f>7145.9</f>
        <v>7145.9</v>
      </c>
      <c r="C74" s="5">
        <f>8750</f>
        <v>8750</v>
      </c>
      <c r="D74" s="5">
        <f t="shared" si="4"/>
        <v>-1604.1000000000004</v>
      </c>
      <c r="E74" s="6">
        <f t="shared" si="5"/>
        <v>0.81667428571428569</v>
      </c>
    </row>
    <row r="75" spans="1:6" x14ac:dyDescent="0.25">
      <c r="A75" s="3" t="s">
        <v>73</v>
      </c>
      <c r="B75" s="5">
        <f>14406.27</f>
        <v>14406.27</v>
      </c>
      <c r="C75" s="5">
        <f>7400</f>
        <v>7400</v>
      </c>
      <c r="D75" s="5">
        <f t="shared" si="4"/>
        <v>7006.27</v>
      </c>
      <c r="E75" s="6">
        <f t="shared" si="5"/>
        <v>1.9467932432432433</v>
      </c>
      <c r="F75" t="s">
        <v>119</v>
      </c>
    </row>
    <row r="76" spans="1:6" x14ac:dyDescent="0.25">
      <c r="A76" s="3" t="s">
        <v>74</v>
      </c>
      <c r="B76" s="5">
        <f>216</f>
        <v>216</v>
      </c>
      <c r="C76" s="4"/>
      <c r="D76" s="5">
        <f t="shared" si="4"/>
        <v>216</v>
      </c>
      <c r="E76" s="6" t="str">
        <f t="shared" si="5"/>
        <v/>
      </c>
    </row>
    <row r="77" spans="1:6" x14ac:dyDescent="0.25">
      <c r="A77" s="3" t="s">
        <v>75</v>
      </c>
      <c r="B77" s="5">
        <f>384</f>
        <v>384</v>
      </c>
      <c r="C77" s="5">
        <f>400</f>
        <v>400</v>
      </c>
      <c r="D77" s="5">
        <f t="shared" si="4"/>
        <v>-16</v>
      </c>
      <c r="E77" s="6">
        <f t="shared" si="5"/>
        <v>0.96</v>
      </c>
    </row>
    <row r="78" spans="1:6" x14ac:dyDescent="0.25">
      <c r="A78" s="3" t="s">
        <v>76</v>
      </c>
      <c r="B78" s="7">
        <f>((((((((((((B65)+(B66))+(B67))+(B68))+(B69))+(B70))+(B71))+(B72))+(B73))+(B74))+(B75))+(B76))+(B77)</f>
        <v>80797.05</v>
      </c>
      <c r="C78" s="7">
        <f>SUM(C66:C77)</f>
        <v>73100</v>
      </c>
      <c r="D78" s="7">
        <f t="shared" si="4"/>
        <v>7697.0500000000029</v>
      </c>
      <c r="E78" s="8">
        <f t="shared" si="5"/>
        <v>1.1052948016415869</v>
      </c>
    </row>
    <row r="79" spans="1:6" x14ac:dyDescent="0.25">
      <c r="A79" s="3" t="s">
        <v>77</v>
      </c>
      <c r="B79" s="4"/>
      <c r="C79" s="4"/>
      <c r="D79" s="5">
        <f t="shared" si="4"/>
        <v>0</v>
      </c>
      <c r="E79" s="6" t="str">
        <f t="shared" si="5"/>
        <v/>
      </c>
    </row>
    <row r="80" spans="1:6" x14ac:dyDescent="0.25">
      <c r="A80" s="3" t="s">
        <v>78</v>
      </c>
      <c r="B80" s="5">
        <f>10458</f>
        <v>10458</v>
      </c>
      <c r="C80" s="5">
        <f>10000</f>
        <v>10000</v>
      </c>
      <c r="D80" s="5">
        <f t="shared" si="4"/>
        <v>458</v>
      </c>
      <c r="E80" s="6">
        <f t="shared" si="5"/>
        <v>1.0458000000000001</v>
      </c>
      <c r="F80" t="s">
        <v>120</v>
      </c>
    </row>
    <row r="81" spans="1:6" x14ac:dyDescent="0.25">
      <c r="A81" s="3" t="s">
        <v>79</v>
      </c>
      <c r="B81" s="4"/>
      <c r="C81" s="5">
        <f>1500</f>
        <v>1500</v>
      </c>
      <c r="D81" s="5">
        <f t="shared" si="4"/>
        <v>-1500</v>
      </c>
      <c r="E81" s="6">
        <f t="shared" si="5"/>
        <v>0</v>
      </c>
    </row>
    <row r="82" spans="1:6" x14ac:dyDescent="0.25">
      <c r="A82" s="3" t="s">
        <v>80</v>
      </c>
      <c r="B82" s="5">
        <f>25049.4</f>
        <v>25049.4</v>
      </c>
      <c r="C82" s="5">
        <f>37000</f>
        <v>37000</v>
      </c>
      <c r="D82" s="5">
        <f t="shared" si="4"/>
        <v>-11950.599999999999</v>
      </c>
      <c r="E82" s="6">
        <f t="shared" si="5"/>
        <v>0.67701081081081083</v>
      </c>
    </row>
    <row r="83" spans="1:6" x14ac:dyDescent="0.25">
      <c r="A83" s="3" t="s">
        <v>81</v>
      </c>
      <c r="B83" s="5">
        <f>9689</f>
        <v>9689</v>
      </c>
      <c r="C83" s="5">
        <f>2000</f>
        <v>2000</v>
      </c>
      <c r="D83" s="5">
        <f t="shared" si="4"/>
        <v>7689</v>
      </c>
      <c r="E83" s="6">
        <f t="shared" si="5"/>
        <v>4.8445</v>
      </c>
      <c r="F83" t="s">
        <v>121</v>
      </c>
    </row>
    <row r="84" spans="1:6" x14ac:dyDescent="0.25">
      <c r="A84" s="3" t="s">
        <v>82</v>
      </c>
      <c r="B84" s="4"/>
      <c r="C84" s="5">
        <f>1500</f>
        <v>1500</v>
      </c>
      <c r="D84" s="5">
        <f t="shared" si="4"/>
        <v>-1500</v>
      </c>
      <c r="E84" s="6">
        <f t="shared" si="5"/>
        <v>0</v>
      </c>
    </row>
    <row r="85" spans="1:6" x14ac:dyDescent="0.25">
      <c r="A85" s="3" t="s">
        <v>83</v>
      </c>
      <c r="B85" s="5">
        <f>385</f>
        <v>385</v>
      </c>
      <c r="C85" s="5">
        <f>420</f>
        <v>420</v>
      </c>
      <c r="D85" s="5">
        <f t="shared" si="4"/>
        <v>-35</v>
      </c>
      <c r="E85" s="6">
        <f t="shared" si="5"/>
        <v>0.91666666666666663</v>
      </c>
    </row>
    <row r="86" spans="1:6" x14ac:dyDescent="0.25">
      <c r="A86" s="3" t="s">
        <v>84</v>
      </c>
      <c r="B86" s="5">
        <f>5000</f>
        <v>5000</v>
      </c>
      <c r="C86" s="5">
        <f>5054</f>
        <v>5054</v>
      </c>
      <c r="D86" s="5">
        <f t="shared" si="4"/>
        <v>-54</v>
      </c>
      <c r="E86" s="6">
        <f t="shared" si="5"/>
        <v>0.98931539374752675</v>
      </c>
    </row>
    <row r="87" spans="1:6" x14ac:dyDescent="0.25">
      <c r="A87" s="3" t="s">
        <v>85</v>
      </c>
      <c r="B87" s="7">
        <f>(((((((B79)+(B80))+(B81))+(B82))+(B83))+(B84))+(B85))+(B86)</f>
        <v>50581.4</v>
      </c>
      <c r="C87" s="7">
        <f>(((((((C79)+(C80))+(C81))+(C82))+(C83))+(C84))+(C85))+(C86)</f>
        <v>57474</v>
      </c>
      <c r="D87" s="7">
        <f t="shared" si="4"/>
        <v>-6892.5999999999985</v>
      </c>
      <c r="E87" s="8">
        <f t="shared" si="5"/>
        <v>0.88007446845530157</v>
      </c>
    </row>
    <row r="88" spans="1:6" x14ac:dyDescent="0.25">
      <c r="A88" s="3" t="s">
        <v>86</v>
      </c>
      <c r="B88" s="4"/>
      <c r="C88" s="4"/>
      <c r="D88" s="5">
        <f t="shared" si="4"/>
        <v>0</v>
      </c>
      <c r="E88" s="6" t="str">
        <f t="shared" si="5"/>
        <v/>
      </c>
    </row>
    <row r="89" spans="1:6" x14ac:dyDescent="0.25">
      <c r="A89" s="3" t="s">
        <v>87</v>
      </c>
      <c r="B89" s="5">
        <f>59108.34</f>
        <v>59108.34</v>
      </c>
      <c r="C89" s="5">
        <f>64600</f>
        <v>64600</v>
      </c>
      <c r="D89" s="5">
        <f t="shared" si="4"/>
        <v>-5491.6600000000035</v>
      </c>
      <c r="E89" s="6">
        <f t="shared" si="5"/>
        <v>0.91498978328173364</v>
      </c>
    </row>
    <row r="90" spans="1:6" x14ac:dyDescent="0.25">
      <c r="A90" s="3" t="s">
        <v>88</v>
      </c>
      <c r="B90" s="4"/>
      <c r="C90" s="5">
        <f>3250</f>
        <v>3250</v>
      </c>
      <c r="D90" s="5">
        <f t="shared" si="4"/>
        <v>-3250</v>
      </c>
      <c r="E90" s="6">
        <f t="shared" si="5"/>
        <v>0</v>
      </c>
    </row>
    <row r="91" spans="1:6" x14ac:dyDescent="0.25">
      <c r="A91" s="3" t="s">
        <v>89</v>
      </c>
      <c r="B91" s="5">
        <f>72000</f>
        <v>72000</v>
      </c>
      <c r="C91" s="5">
        <f>72000</f>
        <v>72000</v>
      </c>
      <c r="D91" s="5">
        <f t="shared" si="4"/>
        <v>0</v>
      </c>
      <c r="E91" s="6">
        <f t="shared" si="5"/>
        <v>1</v>
      </c>
    </row>
    <row r="92" spans="1:6" x14ac:dyDescent="0.25">
      <c r="A92" s="3" t="s">
        <v>90</v>
      </c>
      <c r="B92" s="5">
        <f>2340</f>
        <v>2340</v>
      </c>
      <c r="C92" s="5">
        <f>3800</f>
        <v>3800</v>
      </c>
      <c r="D92" s="5">
        <f t="shared" si="4"/>
        <v>-1460</v>
      </c>
      <c r="E92" s="6">
        <f t="shared" si="5"/>
        <v>0.61578947368421055</v>
      </c>
    </row>
    <row r="93" spans="1:6" x14ac:dyDescent="0.25">
      <c r="A93" s="3" t="s">
        <v>91</v>
      </c>
      <c r="B93" s="4"/>
      <c r="C93" s="5">
        <f>92</f>
        <v>92</v>
      </c>
      <c r="D93" s="5">
        <f t="shared" si="4"/>
        <v>-92</v>
      </c>
      <c r="E93" s="6">
        <f t="shared" si="5"/>
        <v>0</v>
      </c>
    </row>
    <row r="94" spans="1:6" x14ac:dyDescent="0.25">
      <c r="A94" s="3" t="s">
        <v>92</v>
      </c>
      <c r="B94" s="7">
        <f>(((((B88)+(B89))+(B90))+(B91))+(B92))+(B93)</f>
        <v>133448.34</v>
      </c>
      <c r="C94" s="7">
        <f>(((((C88)+(C89))+(C90))+(C91))+(C92))+(C93)</f>
        <v>143742</v>
      </c>
      <c r="D94" s="7">
        <f t="shared" si="4"/>
        <v>-10293.660000000003</v>
      </c>
      <c r="E94" s="8">
        <f t="shared" si="5"/>
        <v>0.92838794506824729</v>
      </c>
    </row>
    <row r="95" spans="1:6" x14ac:dyDescent="0.25">
      <c r="A95" s="3" t="s">
        <v>93</v>
      </c>
      <c r="B95" s="4"/>
      <c r="C95" s="4"/>
      <c r="D95" s="5">
        <f t="shared" si="4"/>
        <v>0</v>
      </c>
      <c r="E95" s="6" t="str">
        <f t="shared" si="5"/>
        <v/>
      </c>
    </row>
    <row r="96" spans="1:6" x14ac:dyDescent="0.25">
      <c r="A96" s="3" t="s">
        <v>94</v>
      </c>
      <c r="B96" s="5">
        <f>1000</f>
        <v>1000</v>
      </c>
      <c r="C96" s="5">
        <f>1000</f>
        <v>1000</v>
      </c>
      <c r="D96" s="5">
        <f t="shared" si="4"/>
        <v>0</v>
      </c>
      <c r="E96" s="6">
        <f t="shared" si="5"/>
        <v>1</v>
      </c>
    </row>
    <row r="97" spans="1:5" x14ac:dyDescent="0.25">
      <c r="A97" s="3" t="s">
        <v>95</v>
      </c>
      <c r="B97" s="5">
        <f>0</f>
        <v>0</v>
      </c>
      <c r="C97" s="4"/>
      <c r="D97" s="5">
        <f t="shared" si="4"/>
        <v>0</v>
      </c>
      <c r="E97" s="6" t="str">
        <f t="shared" si="5"/>
        <v/>
      </c>
    </row>
    <row r="98" spans="1:5" x14ac:dyDescent="0.25">
      <c r="A98" s="3" t="s">
        <v>96</v>
      </c>
      <c r="B98" s="7">
        <f>((B95)+(B96))+(B97)</f>
        <v>1000</v>
      </c>
      <c r="C98" s="7">
        <f>((C95)+(C96))+(C97)</f>
        <v>1000</v>
      </c>
      <c r="D98" s="7">
        <f t="shared" si="4"/>
        <v>0</v>
      </c>
      <c r="E98" s="8">
        <f t="shared" si="5"/>
        <v>1</v>
      </c>
    </row>
    <row r="99" spans="1:5" x14ac:dyDescent="0.25">
      <c r="A99" s="3" t="s">
        <v>97</v>
      </c>
      <c r="B99" s="4"/>
      <c r="C99" s="4"/>
      <c r="D99" s="5">
        <f t="shared" ref="D99:D130" si="8">(B99)-(C99)</f>
        <v>0</v>
      </c>
      <c r="E99" s="6" t="str">
        <f t="shared" ref="E99:E115" si="9">IF(C99=0,"",(B99)/(C99))</f>
        <v/>
      </c>
    </row>
    <row r="100" spans="1:5" x14ac:dyDescent="0.25">
      <c r="A100" s="3" t="s">
        <v>98</v>
      </c>
      <c r="B100" s="4"/>
      <c r="C100" s="5">
        <f>250</f>
        <v>250</v>
      </c>
      <c r="D100" s="5">
        <f t="shared" si="8"/>
        <v>-250</v>
      </c>
      <c r="E100" s="6">
        <f t="shared" si="9"/>
        <v>0</v>
      </c>
    </row>
    <row r="101" spans="1:5" x14ac:dyDescent="0.25">
      <c r="A101" s="3" t="s">
        <v>99</v>
      </c>
      <c r="B101" s="4"/>
      <c r="C101" s="4"/>
      <c r="D101" s="5">
        <f t="shared" si="8"/>
        <v>0</v>
      </c>
      <c r="E101" s="6" t="str">
        <f t="shared" si="9"/>
        <v/>
      </c>
    </row>
    <row r="102" spans="1:5" x14ac:dyDescent="0.25">
      <c r="A102" s="3" t="s">
        <v>100</v>
      </c>
      <c r="B102" s="4"/>
      <c r="C102" s="4"/>
      <c r="D102" s="5">
        <f t="shared" si="8"/>
        <v>0</v>
      </c>
      <c r="E102" s="6" t="str">
        <f t="shared" si="9"/>
        <v/>
      </c>
    </row>
    <row r="103" spans="1:5" x14ac:dyDescent="0.25">
      <c r="A103" s="3" t="s">
        <v>101</v>
      </c>
      <c r="B103" s="5">
        <f>0</f>
        <v>0</v>
      </c>
      <c r="C103" s="4"/>
      <c r="D103" s="5">
        <f t="shared" si="8"/>
        <v>0</v>
      </c>
      <c r="E103" s="6" t="str">
        <f t="shared" si="9"/>
        <v/>
      </c>
    </row>
    <row r="104" spans="1:5" x14ac:dyDescent="0.25">
      <c r="A104" s="3" t="s">
        <v>102</v>
      </c>
      <c r="B104" s="7">
        <f>(B102)+(B103)</f>
        <v>0</v>
      </c>
      <c r="C104" s="7">
        <f>(C102)+(C103)</f>
        <v>0</v>
      </c>
      <c r="D104" s="7">
        <f t="shared" si="8"/>
        <v>0</v>
      </c>
      <c r="E104" s="8" t="str">
        <f t="shared" si="9"/>
        <v/>
      </c>
    </row>
    <row r="105" spans="1:5" x14ac:dyDescent="0.25">
      <c r="A105" s="3" t="s">
        <v>103</v>
      </c>
      <c r="B105" s="7">
        <f>(B101)+(B104)</f>
        <v>0</v>
      </c>
      <c r="C105" s="7">
        <f>(C101)+(C104)</f>
        <v>0</v>
      </c>
      <c r="D105" s="7">
        <f t="shared" si="8"/>
        <v>0</v>
      </c>
      <c r="E105" s="8" t="str">
        <f t="shared" si="9"/>
        <v/>
      </c>
    </row>
    <row r="106" spans="1:5" x14ac:dyDescent="0.25">
      <c r="A106" s="3" t="s">
        <v>104</v>
      </c>
      <c r="B106" s="7">
        <f>((B99)+(B100))+(B105)</f>
        <v>0</v>
      </c>
      <c r="C106" s="7">
        <f>((C99)+(C100))+(C105)</f>
        <v>250</v>
      </c>
      <c r="D106" s="7">
        <f t="shared" si="8"/>
        <v>-250</v>
      </c>
      <c r="E106" s="8">
        <f t="shared" si="9"/>
        <v>0</v>
      </c>
    </row>
    <row r="107" spans="1:5" x14ac:dyDescent="0.25">
      <c r="A107" s="3" t="s">
        <v>105</v>
      </c>
      <c r="B107" s="4"/>
      <c r="C107" s="4"/>
      <c r="D107" s="5">
        <f t="shared" si="8"/>
        <v>0</v>
      </c>
      <c r="E107" s="6" t="str">
        <f t="shared" si="9"/>
        <v/>
      </c>
    </row>
    <row r="108" spans="1:5" x14ac:dyDescent="0.25">
      <c r="A108" s="3" t="s">
        <v>106</v>
      </c>
      <c r="B108" s="4"/>
      <c r="C108" s="5">
        <f>5000</f>
        <v>5000</v>
      </c>
      <c r="D108" s="5">
        <f t="shared" si="8"/>
        <v>-5000</v>
      </c>
      <c r="E108" s="6">
        <f t="shared" si="9"/>
        <v>0</v>
      </c>
    </row>
    <row r="109" spans="1:5" x14ac:dyDescent="0.25">
      <c r="A109" s="3" t="s">
        <v>107</v>
      </c>
      <c r="B109" s="4"/>
      <c r="C109" s="5">
        <f>260</f>
        <v>260</v>
      </c>
      <c r="D109" s="5">
        <f t="shared" si="8"/>
        <v>-260</v>
      </c>
      <c r="E109" s="6">
        <f t="shared" si="9"/>
        <v>0</v>
      </c>
    </row>
    <row r="110" spans="1:5" x14ac:dyDescent="0.25">
      <c r="A110" s="3" t="s">
        <v>108</v>
      </c>
      <c r="B110" s="5">
        <f>22115.35</f>
        <v>22115.35</v>
      </c>
      <c r="C110" s="5">
        <f>51820</f>
        <v>51820</v>
      </c>
      <c r="D110" s="5">
        <f t="shared" si="8"/>
        <v>-29704.65</v>
      </c>
      <c r="E110" s="6">
        <f t="shared" si="9"/>
        <v>0.42677248166730991</v>
      </c>
    </row>
    <row r="111" spans="1:5" x14ac:dyDescent="0.25">
      <c r="A111" s="3" t="s">
        <v>109</v>
      </c>
      <c r="B111" s="7">
        <f>(((B107)+(B108))+(B109))+(B110)</f>
        <v>22115.35</v>
      </c>
      <c r="C111" s="7">
        <f>(((C107)+(C108))+(C109))+(C110)</f>
        <v>57080</v>
      </c>
      <c r="D111" s="7">
        <f t="shared" si="8"/>
        <v>-34964.65</v>
      </c>
      <c r="E111" s="8">
        <f t="shared" si="9"/>
        <v>0.38744481429572525</v>
      </c>
    </row>
    <row r="112" spans="1:5" x14ac:dyDescent="0.25">
      <c r="A112" s="3" t="s">
        <v>110</v>
      </c>
      <c r="B112" s="4"/>
      <c r="C112" s="5">
        <f>2500</f>
        <v>2500</v>
      </c>
      <c r="D112" s="5">
        <f t="shared" si="8"/>
        <v>-2500</v>
      </c>
      <c r="E112" s="6">
        <f t="shared" si="9"/>
        <v>0</v>
      </c>
    </row>
    <row r="113" spans="1:5" x14ac:dyDescent="0.25">
      <c r="A113" s="3" t="s">
        <v>111</v>
      </c>
      <c r="B113" s="7">
        <f>((((((((((B50)+(B53))+(B58))+(B64))+(B78))+(B87))+(B94))+(B98))+(B106))+(B111))+(B112)</f>
        <v>543271.43999999994</v>
      </c>
      <c r="C113" s="7">
        <f>((((((((((C50)+(C53))+(C58))+(C64))+(C78))+(C87))+(C94))+(C98))+(C106))+(C111))+(C112)</f>
        <v>609071</v>
      </c>
      <c r="D113" s="7">
        <f t="shared" si="8"/>
        <v>-65799.560000000056</v>
      </c>
      <c r="E113" s="8">
        <f t="shared" si="9"/>
        <v>0.8919673404250078</v>
      </c>
    </row>
    <row r="114" spans="1:5" x14ac:dyDescent="0.25">
      <c r="A114" s="3" t="s">
        <v>112</v>
      </c>
      <c r="B114" s="7">
        <f>(B33)-(B113)</f>
        <v>165166.02000000014</v>
      </c>
      <c r="C114" s="7">
        <f>(C33)-(C113)</f>
        <v>64921</v>
      </c>
      <c r="D114" s="7">
        <f t="shared" si="8"/>
        <v>100245.02000000014</v>
      </c>
      <c r="E114" s="8">
        <f t="shared" si="9"/>
        <v>2.5441077617411954</v>
      </c>
    </row>
    <row r="115" spans="1:5" x14ac:dyDescent="0.25">
      <c r="A115" s="3" t="s">
        <v>113</v>
      </c>
      <c r="B115" s="9">
        <f>(B114)+(0)</f>
        <v>165166.02000000014</v>
      </c>
      <c r="C115" s="9">
        <f>(C114)+(0)</f>
        <v>64921</v>
      </c>
      <c r="D115" s="9">
        <f t="shared" si="8"/>
        <v>100245.02000000014</v>
      </c>
      <c r="E115" s="10">
        <f t="shared" si="9"/>
        <v>2.5441077617411954</v>
      </c>
    </row>
    <row r="116" spans="1:5" x14ac:dyDescent="0.25">
      <c r="A116" s="3"/>
      <c r="B116" s="4"/>
      <c r="C116" s="4"/>
      <c r="D116" s="4"/>
      <c r="E116" s="4"/>
    </row>
    <row r="119" spans="1:5" x14ac:dyDescent="0.25">
      <c r="A119" s="13" t="s">
        <v>114</v>
      </c>
      <c r="B119" s="14"/>
      <c r="C119" s="14"/>
      <c r="D119" s="14"/>
      <c r="E119" s="14"/>
    </row>
  </sheetData>
  <mergeCells count="5">
    <mergeCell ref="B5:E5"/>
    <mergeCell ref="A119:E119"/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2021-01-11T20:38:23Z</dcterms:created>
  <dcterms:modified xsi:type="dcterms:W3CDTF">2021-01-11T20:49:17Z</dcterms:modified>
</cp:coreProperties>
</file>