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stefan/Desktop/"/>
    </mc:Choice>
  </mc:AlternateContent>
  <xr:revisionPtr revIDLastSave="0" documentId="13_ncr:1_{E7B8871F-2FB3-664A-AEDE-5EAD1B106291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E102" i="1"/>
  <c r="B102" i="1"/>
  <c r="D102" i="1" s="1"/>
  <c r="E101" i="1"/>
  <c r="D101" i="1"/>
  <c r="B101" i="1"/>
  <c r="C99" i="1"/>
  <c r="B99" i="1"/>
  <c r="C98" i="1"/>
  <c r="B98" i="1"/>
  <c r="B100" i="1" s="1"/>
  <c r="C97" i="1"/>
  <c r="E96" i="1"/>
  <c r="D96" i="1"/>
  <c r="B95" i="1"/>
  <c r="C94" i="1"/>
  <c r="C95" i="1" s="1"/>
  <c r="E93" i="1"/>
  <c r="D93" i="1"/>
  <c r="C92" i="1"/>
  <c r="E90" i="1"/>
  <c r="C90" i="1"/>
  <c r="D90" i="1" s="1"/>
  <c r="E89" i="1"/>
  <c r="C89" i="1"/>
  <c r="C88" i="1"/>
  <c r="B88" i="1"/>
  <c r="D88" i="1" s="1"/>
  <c r="D87" i="1"/>
  <c r="C87" i="1"/>
  <c r="E86" i="1"/>
  <c r="D86" i="1"/>
  <c r="C85" i="1"/>
  <c r="C84" i="1"/>
  <c r="B84" i="1"/>
  <c r="B85" i="1" s="1"/>
  <c r="E83" i="1"/>
  <c r="D83" i="1"/>
  <c r="C81" i="1"/>
  <c r="E80" i="1"/>
  <c r="D80" i="1"/>
  <c r="C80" i="1"/>
  <c r="C79" i="1"/>
  <c r="B79" i="1"/>
  <c r="C78" i="1"/>
  <c r="B78" i="1"/>
  <c r="E78" i="1" s="1"/>
  <c r="E77" i="1"/>
  <c r="D77" i="1"/>
  <c r="C75" i="1"/>
  <c r="B75" i="1"/>
  <c r="D75" i="1" s="1"/>
  <c r="E74" i="1"/>
  <c r="C74" i="1"/>
  <c r="B74" i="1"/>
  <c r="C73" i="1"/>
  <c r="E73" i="1" s="1"/>
  <c r="B73" i="1"/>
  <c r="C72" i="1"/>
  <c r="B72" i="1"/>
  <c r="D72" i="1" s="1"/>
  <c r="C71" i="1"/>
  <c r="B71" i="1"/>
  <c r="C70" i="1"/>
  <c r="B70" i="1"/>
  <c r="E69" i="1"/>
  <c r="D69" i="1"/>
  <c r="E67" i="1"/>
  <c r="B67" i="1"/>
  <c r="C66" i="1"/>
  <c r="E66" i="1" s="1"/>
  <c r="E65" i="1"/>
  <c r="B65" i="1"/>
  <c r="C64" i="1"/>
  <c r="B64" i="1"/>
  <c r="C63" i="1"/>
  <c r="B63" i="1"/>
  <c r="C62" i="1"/>
  <c r="D62" i="1"/>
  <c r="E61" i="1"/>
  <c r="C61" i="1"/>
  <c r="D61" i="1" s="1"/>
  <c r="E60" i="1"/>
  <c r="D60" i="1"/>
  <c r="E58" i="1"/>
  <c r="C58" i="1"/>
  <c r="C57" i="1"/>
  <c r="D57" i="1" s="1"/>
  <c r="B57" i="1"/>
  <c r="C56" i="1"/>
  <c r="E56" i="1" s="1"/>
  <c r="C55" i="1"/>
  <c r="C54" i="1"/>
  <c r="E54" i="1" s="1"/>
  <c r="B54" i="1"/>
  <c r="C53" i="1"/>
  <c r="B53" i="1"/>
  <c r="E52" i="1"/>
  <c r="D52" i="1"/>
  <c r="C50" i="1"/>
  <c r="E50" i="1" s="1"/>
  <c r="C49" i="1"/>
  <c r="D49" i="1" s="1"/>
  <c r="C48" i="1"/>
  <c r="E48" i="1" s="1"/>
  <c r="B48" i="1"/>
  <c r="C47" i="1"/>
  <c r="C51" i="1" s="1"/>
  <c r="B47" i="1"/>
  <c r="E46" i="1"/>
  <c r="D46" i="1"/>
  <c r="B45" i="1"/>
  <c r="D44" i="1"/>
  <c r="C44" i="1"/>
  <c r="E44" i="1" s="1"/>
  <c r="C43" i="1"/>
  <c r="D43" i="1" s="1"/>
  <c r="C42" i="1"/>
  <c r="C45" i="1" s="1"/>
  <c r="E45" i="1" s="1"/>
  <c r="E41" i="1"/>
  <c r="D41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C33" i="1"/>
  <c r="B33" i="1"/>
  <c r="D33" i="1" s="1"/>
  <c r="C32" i="1"/>
  <c r="B32" i="1"/>
  <c r="C31" i="1"/>
  <c r="B31" i="1"/>
  <c r="E30" i="1"/>
  <c r="D30" i="1"/>
  <c r="C26" i="1"/>
  <c r="D26" i="1" s="1"/>
  <c r="C24" i="1"/>
  <c r="C25" i="1" s="1"/>
  <c r="E25" i="1" s="1"/>
  <c r="B24" i="1"/>
  <c r="B25" i="1" s="1"/>
  <c r="E23" i="1"/>
  <c r="D23" i="1"/>
  <c r="C21" i="1"/>
  <c r="E21" i="1" s="1"/>
  <c r="B21" i="1"/>
  <c r="E20" i="1"/>
  <c r="D20" i="1"/>
  <c r="E19" i="1"/>
  <c r="B19" i="1"/>
  <c r="D19" i="1" s="1"/>
  <c r="E18" i="1"/>
  <c r="D18" i="1"/>
  <c r="B18" i="1"/>
  <c r="C16" i="1"/>
  <c r="B16" i="1"/>
  <c r="C15" i="1"/>
  <c r="E15" i="1" s="1"/>
  <c r="B15" i="1"/>
  <c r="E14" i="1"/>
  <c r="D14" i="1"/>
  <c r="E12" i="1"/>
  <c r="C12" i="1"/>
  <c r="D12" i="1" s="1"/>
  <c r="C11" i="1"/>
  <c r="E11" i="1" s="1"/>
  <c r="C10" i="1"/>
  <c r="B10" i="1"/>
  <c r="C9" i="1"/>
  <c r="B9" i="1"/>
  <c r="E8" i="1"/>
  <c r="D8" i="1"/>
  <c r="B91" i="1" l="1"/>
  <c r="D24" i="1"/>
  <c r="E26" i="1"/>
  <c r="D31" i="1"/>
  <c r="E33" i="1"/>
  <c r="D42" i="1"/>
  <c r="D48" i="1"/>
  <c r="D50" i="1"/>
  <c r="D54" i="1"/>
  <c r="D56" i="1"/>
  <c r="E88" i="1"/>
  <c r="D94" i="1"/>
  <c r="E16" i="1"/>
  <c r="E24" i="1"/>
  <c r="B40" i="1"/>
  <c r="C68" i="1"/>
  <c r="E72" i="1"/>
  <c r="D78" i="1"/>
  <c r="B82" i="1"/>
  <c r="C91" i="1"/>
  <c r="E94" i="1"/>
  <c r="C100" i="1"/>
  <c r="D10" i="1"/>
  <c r="E32" i="1"/>
  <c r="E57" i="1"/>
  <c r="D66" i="1"/>
  <c r="D73" i="1"/>
  <c r="C22" i="1"/>
  <c r="D79" i="1"/>
  <c r="C13" i="1"/>
  <c r="E9" i="1"/>
  <c r="D11" i="1"/>
  <c r="E79" i="1"/>
  <c r="B59" i="1"/>
  <c r="E53" i="1"/>
  <c r="D53" i="1"/>
  <c r="E63" i="1"/>
  <c r="D63" i="1"/>
  <c r="E70" i="1"/>
  <c r="E75" i="1"/>
  <c r="D85" i="1"/>
  <c r="D9" i="1"/>
  <c r="B13" i="1"/>
  <c r="C17" i="1"/>
  <c r="E47" i="1"/>
  <c r="D47" i="1"/>
  <c r="E71" i="1"/>
  <c r="C76" i="1"/>
  <c r="E100" i="1"/>
  <c r="E10" i="1"/>
  <c r="C40" i="1"/>
  <c r="E31" i="1"/>
  <c r="B51" i="1"/>
  <c r="E64" i="1"/>
  <c r="D64" i="1"/>
  <c r="E85" i="1"/>
  <c r="E92" i="1"/>
  <c r="D92" i="1"/>
  <c r="D15" i="1"/>
  <c r="D16" i="1"/>
  <c r="B17" i="1"/>
  <c r="D21" i="1"/>
  <c r="B22" i="1"/>
  <c r="D25" i="1"/>
  <c r="D32" i="1"/>
  <c r="E42" i="1"/>
  <c r="D45" i="1"/>
  <c r="D55" i="1"/>
  <c r="E55" i="1"/>
  <c r="D58" i="1"/>
  <c r="C59" i="1"/>
  <c r="D71" i="1"/>
  <c r="D81" i="1"/>
  <c r="E81" i="1"/>
  <c r="D84" i="1"/>
  <c r="E84" i="1"/>
  <c r="D65" i="1"/>
  <c r="D67" i="1"/>
  <c r="E91" i="1"/>
  <c r="D91" i="1"/>
  <c r="D100" i="1"/>
  <c r="E43" i="1"/>
  <c r="E49" i="1"/>
  <c r="B68" i="1"/>
  <c r="E68" i="1" s="1"/>
  <c r="E62" i="1"/>
  <c r="D70" i="1"/>
  <c r="D74" i="1"/>
  <c r="C82" i="1"/>
  <c r="D82" i="1" s="1"/>
  <c r="D95" i="1"/>
  <c r="E95" i="1"/>
  <c r="B76" i="1"/>
  <c r="D89" i="1"/>
  <c r="D97" i="1"/>
  <c r="D98" i="1"/>
  <c r="D99" i="1"/>
  <c r="E97" i="1"/>
  <c r="E98" i="1"/>
  <c r="E99" i="1"/>
  <c r="E87" i="1"/>
  <c r="B103" i="1" l="1"/>
  <c r="D76" i="1"/>
  <c r="D17" i="1"/>
  <c r="C103" i="1"/>
  <c r="E40" i="1"/>
  <c r="D40" i="1"/>
  <c r="D59" i="1"/>
  <c r="E22" i="1"/>
  <c r="E17" i="1"/>
  <c r="E82" i="1"/>
  <c r="E59" i="1"/>
  <c r="B27" i="1"/>
  <c r="D13" i="1"/>
  <c r="D68" i="1"/>
  <c r="D22" i="1"/>
  <c r="D51" i="1"/>
  <c r="E76" i="1"/>
  <c r="E51" i="1"/>
  <c r="C27" i="1"/>
  <c r="E13" i="1"/>
  <c r="D27" i="1" l="1"/>
  <c r="B28" i="1"/>
  <c r="E103" i="1"/>
  <c r="C28" i="1"/>
  <c r="E27" i="1"/>
  <c r="D103" i="1"/>
  <c r="C104" i="1" l="1"/>
  <c r="E28" i="1"/>
  <c r="B104" i="1"/>
  <c r="D28" i="1"/>
  <c r="D104" i="1" l="1"/>
  <c r="B105" i="1"/>
  <c r="E104" i="1"/>
  <c r="C105" i="1"/>
  <c r="D105" i="1" l="1"/>
  <c r="E105" i="1"/>
</calcChain>
</file>

<file path=xl/sharedStrings.xml><?xml version="1.0" encoding="utf-8"?>
<sst xmlns="http://schemas.openxmlformats.org/spreadsheetml/2006/main" count="109" uniqueCount="109">
  <si>
    <t>Chapter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</si>
  <si>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</si>
  <si>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</si>
  <si>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</si>
  <si>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</si>
  <si>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</si>
  <si>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</si>
  <si>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</si>
  <si>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</si>
  <si>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 Current 2021</t>
  </si>
  <si>
    <t xml:space="preserve">      4126 Conference Profit 2020</t>
  </si>
  <si>
    <t xml:space="preserve">   Total 4100 Dues &amp; Conference</t>
  </si>
  <si>
    <t xml:space="preserve">   4200 Administrative Income</t>
  </si>
  <si>
    <t xml:space="preserve">      4205 Extra Award Income</t>
  </si>
  <si>
    <t xml:space="preserve">      4206 Insurance Income</t>
  </si>
  <si>
    <t xml:space="preserve">   Total 4200 Administrative Income</t>
  </si>
  <si>
    <t xml:space="preserve">   4250 Billable Expense Income</t>
  </si>
  <si>
    <t xml:space="preserve">   4300 Miscellaneous Income</t>
  </si>
  <si>
    <t xml:space="preserve">   4400 Professional Development Income</t>
  </si>
  <si>
    <t xml:space="preserve">      4410 Webcast/Workshop Income</t>
  </si>
  <si>
    <t xml:space="preserve">   Total 4400 Professional Development Income</t>
  </si>
  <si>
    <t xml:space="preserve">   4500 Public Information Income</t>
  </si>
  <si>
    <t xml:space="preserve">      4520 Web Ads &amp; Newsletter Subscriptions</t>
  </si>
  <si>
    <t xml:space="preserve">   Total 4500 Public Information Income</t>
  </si>
  <si>
    <t xml:space="preserve">   4700 Annual Chapter Sponsorships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</si>
  <si>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</si>
  <si>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</si>
  <si>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</si>
  <si>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</si>
  <si>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</si>
  <si>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5108 Section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</si>
  <si>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</si>
  <si>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</si>
  <si>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</si>
  <si>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</si>
  <si>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</si>
  <si>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</si>
  <si>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</si>
  <si>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Total 5100 Operations Expense</t>
  </si>
  <si>
    <t xml:space="preserve">   5200 President Expense</t>
  </si>
  <si>
    <t xml:space="preserve">      5205 President Expenses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</si>
  <si>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</si>
  <si>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</si>
  <si>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</si>
  <si>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</si>
  <si>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</si>
  <si>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</si>
  <si>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</si>
  <si>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   5320 National Legislative Rep.</t>
  </si>
  <si>
    <t xml:space="preserve">   Total 5300 Policy &amp; Legislation</t>
  </si>
  <si>
    <t xml:space="preserve">   5400 Professional Development</t>
  </si>
  <si>
    <t xml:space="preserve">      5402 Statewide Webinars/Workshops</t>
  </si>
  <si>
    <t xml:space="preserve">      5410 CM Maintenance and Distant Educator</t>
  </si>
  <si>
    <t xml:space="preserve">      5415 AICP Exam Training/Preparation</t>
  </si>
  <si>
    <t xml:space="preserve">      5417 AICP Exam Chapter Scholar</t>
  </si>
  <si>
    <t xml:space="preserve">      5420 FAICP and AICP Honors</t>
  </si>
  <si>
    <t xml:space="preserve">      5422 Young &amp; Emerging Planners Coord &amp; Ed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</si>
  <si>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</si>
  <si>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</si>
  <si>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</si>
  <si>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Advertising &amp; Directory Maintenance</t>
  </si>
  <si>
    <t xml:space="preserve">      5516 Newsletter</t>
  </si>
  <si>
    <t xml:space="preserve">      5520 Website &amp; Social Media</t>
  </si>
  <si>
    <t xml:space="preserve">      5521 News Production - Proofreader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</si>
  <si>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</si>
  <si>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</si>
  <si>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</si>
  <si>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</si>
  <si>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</si>
  <si>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5612 Awards Contractor</t>
  </si>
  <si>
    <t xml:space="preserve">      5620 Bookkeeping/Accounting/Tax Services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</si>
  <si>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</si>
  <si>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</si>
  <si>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</si>
  <si>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</si>
  <si>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</si>
  <si>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</si>
  <si>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</si>
  <si>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</si>
  <si>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</si>
  <si>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Total 5700 Section Subventions</t>
  </si>
  <si>
    <t xml:space="preserve">   5800 VP Diversity &amp; Equity</t>
  </si>
  <si>
    <t xml:space="preserve">      6310 VP Diversity &amp; Equity</t>
  </si>
  <si>
    <t xml:space="preserve">   Total 5800 VP Diversity &amp; Equity</t>
  </si>
  <si>
    <t xml:space="preserve">   5900 Other Expenses</t>
  </si>
  <si>
    <t xml:space="preserve">      5905 Chapter Historian</t>
  </si>
  <si>
    <t xml:space="preserve">      5915 CSUN Archives</t>
  </si>
  <si>
    <t xml:space="preserve">      5925 PEN Expense</t>
  </si>
  <si>
    <t xml:space="preserve">      6325 University Liaison</t>
  </si>
  <si>
    <t xml:space="preserve">   Total 5900 Other Expenses</t>
  </si>
  <si>
    <t xml:space="preserve">   6100 Commission &amp; Board Rep</t>
  </si>
  <si>
    <t xml:space="preserve">   6200 Conferences</t>
  </si>
  <si>
    <t xml:space="preserve">      6205 VP Conference Expense</t>
  </si>
  <si>
    <t xml:space="preserve">   Total 6200 Conferences</t>
  </si>
  <si>
    <t xml:space="preserve">   6300 Marketing &amp; Membership</t>
  </si>
  <si>
    <t xml:space="preserve">      6305 VP Marketing &amp; Membership</t>
  </si>
  <si>
    <t xml:space="preserve">      6307 Membership Management Contractor</t>
  </si>
  <si>
    <t xml:space="preserve">      6335 Membership Programs</t>
  </si>
  <si>
    <t xml:space="preserve">   Total 6300 Marketing &amp; Membership</t>
  </si>
  <si>
    <t xml:space="preserve">   Payroll Tax Expenses (deleted)</t>
  </si>
  <si>
    <t xml:space="preserve">   Payroll Wage Expenses (deleted)</t>
  </si>
  <si>
    <t>Total Expenses</t>
  </si>
  <si>
    <t>Net Operating Income</t>
  </si>
  <si>
    <t>Net Income</t>
  </si>
  <si>
    <t>Thursday, Sep 23, 2021 04:07:23 PM GMT-7 - Cash Basis</t>
  </si>
  <si>
    <t>American Planning Assoc. California Chapter</t>
  </si>
  <si>
    <t>January - December 2021</t>
  </si>
  <si>
    <t>Budget vs. Actuals: 2021</t>
  </si>
  <si>
    <t>UPDATED THROUGH SEPTEMBER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</si>
</sst>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workbookViewId="0">
      <selection activeCell="A10" sqref="A10"/>
    </sheetView>
  </sheetViews>
  <sheetFormatPr baseColWidth="10" defaultColWidth="8.83203125" defaultRowHeight="15" x14ac:dyDescent="0.2"/>
  <cols>
    <col min="1" max="1" width="36.6640625" customWidth="1"/>
    <col min="2" max="5" width="12" customWidth="1"/>
  </cols>
  <sheetData>
    <row r="1" spans="1:5" ht="18" x14ac:dyDescent="0.2">
      <c r="A1" s="15" t="s">
        <v>105</v>
      </c>
      <c r="B1" s="14"/>
      <c r="C1" s="14"/>
      <c r="D1" s="14"/>
      <c r="E1" s="14"/>
    </row>
    <row r="2" spans="1:5" ht="18" x14ac:dyDescent="0.2">
      <c r="A2" s="15" t="s">
        <v>107</v>
      </c>
      <c r="B2" s="14"/>
      <c r="C2" s="14"/>
      <c r="D2" s="14"/>
      <c r="E2" s="14"/>
    </row>
    <row r="3" spans="1:5" x14ac:dyDescent="0.2">
      <c r="A3" s="16" t="s">
        <v>106</v>
      </c>
      <c r="B3" s="14"/>
      <c r="C3" s="14"/>
      <c r="D3" s="14"/>
      <c r="E3" s="14"/>
    </row>
    <row r="5" spans="1:5" ht="17" x14ac:dyDescent="0.2">
      <c r="A5" s="17" t="s">
        <v>108</v>
      </c>
      <c r="B5" s="11" t="s">
        <v>0</v>
      </c>
      <c r="C5" s="12"/>
      <c r="D5" s="12"/>
      <c r="E5" s="12"/>
    </row>
    <row r="6" spans="1:5" x14ac:dyDescent="0.2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">
      <c r="A7" s="3" t="s">
        <v>5</v>
      </c>
      <c r="B7" s="4"/>
      <c r="C7" s="4"/>
      <c r="D7" s="4"/>
      <c r="E7" s="4"/>
    </row>
    <row r="8" spans="1:5" x14ac:dyDescent="0.2">
      <c r="A8" s="3" t="s">
        <v>6</v>
      </c>
      <c r="B8" s="4"/>
      <c r="C8" s="4"/>
      <c r="D8" s="5">
        <f t="shared" ref="D8:D28" si="0">(B8)-(C8)</f>
        <v>0</v>
      </c>
      <c r="E8" s="6" t="str">
        <f t="shared" ref="E8:E28" si="1">IF(C8=0,"",(B8)/(C8))</f>
        <v/>
      </c>
    </row>
    <row r="9" spans="1:5" x14ac:dyDescent="0.2">
      <c r="A9" s="3" t="s">
        <v>7</v>
      </c>
      <c r="B9" s="5">
        <f>272973.83</f>
        <v>272973.83</v>
      </c>
      <c r="C9" s="5">
        <f>397000</f>
        <v>397000</v>
      </c>
      <c r="D9" s="5">
        <f t="shared" si="0"/>
        <v>-124026.16999999998</v>
      </c>
      <c r="E9" s="6">
        <f t="shared" si="1"/>
        <v>0.68759151133501262</v>
      </c>
    </row>
    <row r="10" spans="1:5" x14ac:dyDescent="0.2">
      <c r="A10" s="3" t="s">
        <v>8</v>
      </c>
      <c r="B10" s="5">
        <f>13500</f>
        <v>13500</v>
      </c>
      <c r="C10" s="5">
        <f>20750</f>
        <v>20750</v>
      </c>
      <c r="D10" s="5">
        <f t="shared" si="0"/>
        <v>-7250</v>
      </c>
      <c r="E10" s="6">
        <f t="shared" si="1"/>
        <v>0.6506024096385542</v>
      </c>
    </row>
    <row r="11" spans="1:5" x14ac:dyDescent="0.2">
      <c r="A11" s="3" t="s">
        <v>9</v>
      </c>
      <c r="B11" s="4"/>
      <c r="C11" s="5">
        <f>100000</f>
        <v>100000</v>
      </c>
      <c r="D11" s="5">
        <f t="shared" si="0"/>
        <v>-100000</v>
      </c>
      <c r="E11" s="6">
        <f t="shared" si="1"/>
        <v>0</v>
      </c>
    </row>
    <row r="12" spans="1:5" x14ac:dyDescent="0.2">
      <c r="A12" s="3" t="s">
        <v>10</v>
      </c>
      <c r="B12" s="4"/>
      <c r="C12" s="5">
        <f>58503</f>
        <v>58503</v>
      </c>
      <c r="D12" s="5">
        <f t="shared" si="0"/>
        <v>-58503</v>
      </c>
      <c r="E12" s="6">
        <f t="shared" si="1"/>
        <v>0</v>
      </c>
    </row>
    <row r="13" spans="1:5" x14ac:dyDescent="0.2">
      <c r="A13" s="3" t="s">
        <v>11</v>
      </c>
      <c r="B13" s="7">
        <f>((((B8)+(B9))+(B10))+(B11))+(B12)</f>
        <v>286473.83</v>
      </c>
      <c r="C13" s="7">
        <f>((((C8)+(C9))+(C10))+(C11))+(C12)</f>
        <v>576253</v>
      </c>
      <c r="D13" s="7">
        <f t="shared" si="0"/>
        <v>-289779.17</v>
      </c>
      <c r="E13" s="8">
        <f t="shared" si="1"/>
        <v>0.49713204096117508</v>
      </c>
    </row>
    <row r="14" spans="1:5" x14ac:dyDescent="0.2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">
      <c r="A15" s="3" t="s">
        <v>13</v>
      </c>
      <c r="B15" s="5">
        <f>100</f>
        <v>100</v>
      </c>
      <c r="C15" s="5">
        <f>800</f>
        <v>800</v>
      </c>
      <c r="D15" s="5">
        <f t="shared" si="0"/>
        <v>-700</v>
      </c>
      <c r="E15" s="6">
        <f t="shared" si="1"/>
        <v>0.125</v>
      </c>
    </row>
    <row r="16" spans="1:5" x14ac:dyDescent="0.2">
      <c r="A16" s="3" t="s">
        <v>14</v>
      </c>
      <c r="B16" s="5">
        <f>6367.38</f>
        <v>6367.38</v>
      </c>
      <c r="C16" s="5">
        <f>3500</f>
        <v>3500</v>
      </c>
      <c r="D16" s="5">
        <f t="shared" si="0"/>
        <v>2867.38</v>
      </c>
      <c r="E16" s="6">
        <f t="shared" si="1"/>
        <v>1.8192514285714285</v>
      </c>
    </row>
    <row r="17" spans="1:5" x14ac:dyDescent="0.2">
      <c r="A17" s="3" t="s">
        <v>15</v>
      </c>
      <c r="B17" s="7">
        <f>((B14)+(B15))+(B16)</f>
        <v>6467.38</v>
      </c>
      <c r="C17" s="7">
        <f>((C14)+(C15))+(C16)</f>
        <v>4300</v>
      </c>
      <c r="D17" s="7">
        <f t="shared" si="0"/>
        <v>2167.38</v>
      </c>
      <c r="E17" s="8">
        <f t="shared" si="1"/>
        <v>1.5040418604651162</v>
      </c>
    </row>
    <row r="18" spans="1:5" x14ac:dyDescent="0.2">
      <c r="A18" s="3" t="s">
        <v>16</v>
      </c>
      <c r="B18" s="5">
        <f>13940</f>
        <v>13940</v>
      </c>
      <c r="C18" s="4"/>
      <c r="D18" s="5">
        <f t="shared" si="0"/>
        <v>13940</v>
      </c>
      <c r="E18" s="6" t="str">
        <f t="shared" si="1"/>
        <v/>
      </c>
    </row>
    <row r="19" spans="1:5" x14ac:dyDescent="0.2">
      <c r="A19" s="3" t="s">
        <v>17</v>
      </c>
      <c r="B19" s="5">
        <f>0</f>
        <v>0</v>
      </c>
      <c r="C19" s="4"/>
      <c r="D19" s="5">
        <f t="shared" si="0"/>
        <v>0</v>
      </c>
      <c r="E19" s="6" t="str">
        <f t="shared" si="1"/>
        <v/>
      </c>
    </row>
    <row r="20" spans="1:5" x14ac:dyDescent="0.2">
      <c r="A20" s="3" t="s">
        <v>18</v>
      </c>
      <c r="B20" s="4"/>
      <c r="C20" s="4"/>
      <c r="D20" s="5">
        <f t="shared" si="0"/>
        <v>0</v>
      </c>
      <c r="E20" s="6" t="str">
        <f t="shared" si="1"/>
        <v/>
      </c>
    </row>
    <row r="21" spans="1:5" x14ac:dyDescent="0.2">
      <c r="A21" s="3" t="s">
        <v>19</v>
      </c>
      <c r="B21" s="5">
        <f>11650</f>
        <v>11650</v>
      </c>
      <c r="C21" s="5">
        <f>19000</f>
        <v>19000</v>
      </c>
      <c r="D21" s="5">
        <f t="shared" si="0"/>
        <v>-7350</v>
      </c>
      <c r="E21" s="6">
        <f t="shared" si="1"/>
        <v>0.61315789473684212</v>
      </c>
    </row>
    <row r="22" spans="1:5" x14ac:dyDescent="0.2">
      <c r="A22" s="3" t="s">
        <v>20</v>
      </c>
      <c r="B22" s="7">
        <f>(B20)+(B21)</f>
        <v>11650</v>
      </c>
      <c r="C22" s="7">
        <f>(C20)+(C21)</f>
        <v>19000</v>
      </c>
      <c r="D22" s="7">
        <f t="shared" si="0"/>
        <v>-7350</v>
      </c>
      <c r="E22" s="8">
        <f t="shared" si="1"/>
        <v>0.61315789473684212</v>
      </c>
    </row>
    <row r="23" spans="1:5" x14ac:dyDescent="0.2">
      <c r="A23" s="3" t="s">
        <v>21</v>
      </c>
      <c r="B23" s="4"/>
      <c r="C23" s="4"/>
      <c r="D23" s="5">
        <f t="shared" si="0"/>
        <v>0</v>
      </c>
      <c r="E23" s="6" t="str">
        <f t="shared" si="1"/>
        <v/>
      </c>
    </row>
    <row r="24" spans="1:5" x14ac:dyDescent="0.2">
      <c r="A24" s="3" t="s">
        <v>22</v>
      </c>
      <c r="B24" s="5">
        <f>54780</f>
        <v>54780</v>
      </c>
      <c r="C24" s="5">
        <f>37000</f>
        <v>37000</v>
      </c>
      <c r="D24" s="5">
        <f t="shared" si="0"/>
        <v>17780</v>
      </c>
      <c r="E24" s="6">
        <f t="shared" si="1"/>
        <v>1.4805405405405405</v>
      </c>
    </row>
    <row r="25" spans="1:5" x14ac:dyDescent="0.2">
      <c r="A25" s="3" t="s">
        <v>23</v>
      </c>
      <c r="B25" s="7">
        <f>(B23)+(B24)</f>
        <v>54780</v>
      </c>
      <c r="C25" s="7">
        <f>(C23)+(C24)</f>
        <v>37000</v>
      </c>
      <c r="D25" s="7">
        <f t="shared" si="0"/>
        <v>17780</v>
      </c>
      <c r="E25" s="8">
        <f t="shared" si="1"/>
        <v>1.4805405405405405</v>
      </c>
    </row>
    <row r="26" spans="1:5" x14ac:dyDescent="0.2">
      <c r="A26" s="3" t="s">
        <v>24</v>
      </c>
      <c r="B26" s="4"/>
      <c r="C26" s="5">
        <f>3000</f>
        <v>3000</v>
      </c>
      <c r="D26" s="5">
        <f t="shared" si="0"/>
        <v>-3000</v>
      </c>
      <c r="E26" s="6">
        <f t="shared" si="1"/>
        <v>0</v>
      </c>
    </row>
    <row r="27" spans="1:5" x14ac:dyDescent="0.2">
      <c r="A27" s="3" t="s">
        <v>25</v>
      </c>
      <c r="B27" s="7">
        <f>((((((B13)+(B17))+(B18))+(B19))+(B22))+(B25))+(B26)</f>
        <v>373311.21</v>
      </c>
      <c r="C27" s="7">
        <f>((((((C13)+(C17))+(C18))+(C19))+(C22))+(C25))+(C26)</f>
        <v>639553</v>
      </c>
      <c r="D27" s="7">
        <f t="shared" si="0"/>
        <v>-266241.78999999998</v>
      </c>
      <c r="E27" s="8">
        <f t="shared" si="1"/>
        <v>0.58370644809734307</v>
      </c>
    </row>
    <row r="28" spans="1:5" x14ac:dyDescent="0.2">
      <c r="A28" s="3" t="s">
        <v>26</v>
      </c>
      <c r="B28" s="7">
        <f>(B27)-(0)</f>
        <v>373311.21</v>
      </c>
      <c r="C28" s="7">
        <f>(C27)-(0)</f>
        <v>639553</v>
      </c>
      <c r="D28" s="7">
        <f t="shared" si="0"/>
        <v>-266241.78999999998</v>
      </c>
      <c r="E28" s="8">
        <f t="shared" si="1"/>
        <v>0.58370644809734307</v>
      </c>
    </row>
    <row r="29" spans="1:5" x14ac:dyDescent="0.2">
      <c r="A29" s="3" t="s">
        <v>27</v>
      </c>
      <c r="B29" s="4"/>
      <c r="C29" s="4"/>
      <c r="D29" s="4"/>
      <c r="E29" s="4"/>
    </row>
    <row r="30" spans="1:5" x14ac:dyDescent="0.2">
      <c r="A30" s="3" t="s">
        <v>28</v>
      </c>
      <c r="B30" s="4"/>
      <c r="C30" s="4"/>
      <c r="D30" s="5">
        <f t="shared" ref="D30:D61" si="2">(B30)-(C30)</f>
        <v>0</v>
      </c>
      <c r="E30" s="6" t="str">
        <f t="shared" ref="E30:E61" si="3">IF(C30=0,"",(B30)/(C30))</f>
        <v/>
      </c>
    </row>
    <row r="31" spans="1:5" x14ac:dyDescent="0.2">
      <c r="A31" s="3" t="s">
        <v>29</v>
      </c>
      <c r="B31" s="5">
        <f>49500</f>
        <v>49500</v>
      </c>
      <c r="C31" s="5">
        <f>66000</f>
        <v>66000</v>
      </c>
      <c r="D31" s="5">
        <f t="shared" si="2"/>
        <v>-16500</v>
      </c>
      <c r="E31" s="6">
        <f t="shared" si="3"/>
        <v>0.75</v>
      </c>
    </row>
    <row r="32" spans="1:5" x14ac:dyDescent="0.2">
      <c r="A32" s="3" t="s">
        <v>30</v>
      </c>
      <c r="B32" s="5">
        <f>20000</f>
        <v>20000</v>
      </c>
      <c r="C32" s="5">
        <f>20000</f>
        <v>20000</v>
      </c>
      <c r="D32" s="5">
        <f t="shared" si="2"/>
        <v>0</v>
      </c>
      <c r="E32" s="6">
        <f t="shared" si="3"/>
        <v>1</v>
      </c>
    </row>
    <row r="33" spans="1:5" x14ac:dyDescent="0.2">
      <c r="A33" s="3" t="s">
        <v>31</v>
      </c>
      <c r="B33" s="5">
        <f>4571.11</f>
        <v>4571.1099999999997</v>
      </c>
      <c r="C33" s="5">
        <f>5200</f>
        <v>5200</v>
      </c>
      <c r="D33" s="5">
        <f t="shared" si="2"/>
        <v>-628.89000000000033</v>
      </c>
      <c r="E33" s="6">
        <f t="shared" si="3"/>
        <v>0.8790596153846153</v>
      </c>
    </row>
    <row r="34" spans="1:5" x14ac:dyDescent="0.2">
      <c r="A34" s="3" t="s">
        <v>32</v>
      </c>
      <c r="B34" s="4"/>
      <c r="C34" s="5">
        <f>10000</f>
        <v>10000</v>
      </c>
      <c r="D34" s="5">
        <f t="shared" si="2"/>
        <v>-10000</v>
      </c>
      <c r="E34" s="6">
        <f t="shared" si="3"/>
        <v>0</v>
      </c>
    </row>
    <row r="35" spans="1:5" x14ac:dyDescent="0.2">
      <c r="A35" s="3" t="s">
        <v>33</v>
      </c>
      <c r="B35" s="5">
        <f>1652.58</f>
        <v>1652.58</v>
      </c>
      <c r="C35" s="5">
        <f>4125</f>
        <v>4125</v>
      </c>
      <c r="D35" s="5">
        <f t="shared" si="2"/>
        <v>-2472.42</v>
      </c>
      <c r="E35" s="6">
        <f t="shared" si="3"/>
        <v>0.40062545454545451</v>
      </c>
    </row>
    <row r="36" spans="1:5" x14ac:dyDescent="0.2">
      <c r="A36" s="3" t="s">
        <v>34</v>
      </c>
      <c r="B36" s="5">
        <f>1025</f>
        <v>1025</v>
      </c>
      <c r="C36" s="5">
        <f>5000</f>
        <v>5000</v>
      </c>
      <c r="D36" s="5">
        <f t="shared" si="2"/>
        <v>-3975</v>
      </c>
      <c r="E36" s="6">
        <f t="shared" si="3"/>
        <v>0.20499999999999999</v>
      </c>
    </row>
    <row r="37" spans="1:5" x14ac:dyDescent="0.2">
      <c r="A37" s="3" t="s">
        <v>35</v>
      </c>
      <c r="B37" s="5">
        <f>3286.76</f>
        <v>3286.76</v>
      </c>
      <c r="C37" s="5">
        <f>4500</f>
        <v>4500</v>
      </c>
      <c r="D37" s="5">
        <f t="shared" si="2"/>
        <v>-1213.2399999999998</v>
      </c>
      <c r="E37" s="6">
        <f t="shared" si="3"/>
        <v>0.73039111111111121</v>
      </c>
    </row>
    <row r="38" spans="1:5" x14ac:dyDescent="0.2">
      <c r="A38" s="3" t="s">
        <v>36</v>
      </c>
      <c r="B38" s="5">
        <f>10125</f>
        <v>10125</v>
      </c>
      <c r="C38" s="5">
        <f>13500</f>
        <v>13500</v>
      </c>
      <c r="D38" s="5">
        <f t="shared" si="2"/>
        <v>-3375</v>
      </c>
      <c r="E38" s="6">
        <f t="shared" si="3"/>
        <v>0.75</v>
      </c>
    </row>
    <row r="39" spans="1:5" x14ac:dyDescent="0.2">
      <c r="A39" s="3" t="s">
        <v>37</v>
      </c>
      <c r="B39" s="5">
        <f>2999.88</f>
        <v>2999.88</v>
      </c>
      <c r="C39" s="5">
        <f>4000</f>
        <v>4000</v>
      </c>
      <c r="D39" s="5">
        <f t="shared" si="2"/>
        <v>-1000.1199999999999</v>
      </c>
      <c r="E39" s="6">
        <f t="shared" si="3"/>
        <v>0.74997000000000003</v>
      </c>
    </row>
    <row r="40" spans="1:5" x14ac:dyDescent="0.2">
      <c r="A40" s="3" t="s">
        <v>38</v>
      </c>
      <c r="B40" s="7">
        <f>(((((((((B30)+(B31))+(B32))+(B33))+(B34))+(B35))+(B36))+(B37))+(B38))+(B39)</f>
        <v>93160.33</v>
      </c>
      <c r="C40" s="7">
        <f>(((((((((C30)+(C31))+(C32))+(C33))+(C34))+(C35))+(C36))+(C37))+(C38))+(C39)</f>
        <v>132325</v>
      </c>
      <c r="D40" s="7">
        <f t="shared" si="2"/>
        <v>-39164.67</v>
      </c>
      <c r="E40" s="8">
        <f t="shared" si="3"/>
        <v>0.70402667674286801</v>
      </c>
    </row>
    <row r="41" spans="1:5" x14ac:dyDescent="0.2">
      <c r="A41" s="3" t="s">
        <v>39</v>
      </c>
      <c r="B41" s="4"/>
      <c r="C41" s="4"/>
      <c r="D41" s="5">
        <f t="shared" si="2"/>
        <v>0</v>
      </c>
      <c r="E41" s="6" t="str">
        <f t="shared" si="3"/>
        <v/>
      </c>
    </row>
    <row r="42" spans="1:5" x14ac:dyDescent="0.2">
      <c r="A42" s="3" t="s">
        <v>40</v>
      </c>
      <c r="B42" s="4"/>
      <c r="C42" s="5">
        <f>25100</f>
        <v>25100</v>
      </c>
      <c r="D42" s="5">
        <f t="shared" si="2"/>
        <v>-25100</v>
      </c>
      <c r="E42" s="6">
        <f t="shared" si="3"/>
        <v>0</v>
      </c>
    </row>
    <row r="43" spans="1:5" x14ac:dyDescent="0.2">
      <c r="A43" s="3" t="s">
        <v>41</v>
      </c>
      <c r="B43" s="4"/>
      <c r="C43" s="5">
        <f>100</f>
        <v>100</v>
      </c>
      <c r="D43" s="5">
        <f t="shared" si="2"/>
        <v>-100</v>
      </c>
      <c r="E43" s="6">
        <f t="shared" si="3"/>
        <v>0</v>
      </c>
    </row>
    <row r="44" spans="1:5" x14ac:dyDescent="0.2">
      <c r="A44" s="3" t="s">
        <v>42</v>
      </c>
      <c r="B44" s="4"/>
      <c r="C44" s="5">
        <f>100</f>
        <v>100</v>
      </c>
      <c r="D44" s="5">
        <f t="shared" si="2"/>
        <v>-100</v>
      </c>
      <c r="E44" s="6">
        <f t="shared" si="3"/>
        <v>0</v>
      </c>
    </row>
    <row r="45" spans="1:5" x14ac:dyDescent="0.2">
      <c r="A45" s="3" t="s">
        <v>43</v>
      </c>
      <c r="B45" s="7">
        <f>(((B41)+(B42))+(B43))+(B44)</f>
        <v>0</v>
      </c>
      <c r="C45" s="7">
        <f>(((C41)+(C42))+(C43))+(C44)</f>
        <v>25300</v>
      </c>
      <c r="D45" s="7">
        <f t="shared" si="2"/>
        <v>-25300</v>
      </c>
      <c r="E45" s="8">
        <f t="shared" si="3"/>
        <v>0</v>
      </c>
    </row>
    <row r="46" spans="1:5" x14ac:dyDescent="0.2">
      <c r="A46" s="3" t="s">
        <v>44</v>
      </c>
      <c r="B46" s="4"/>
      <c r="C46" s="4"/>
      <c r="D46" s="5">
        <f t="shared" si="2"/>
        <v>0</v>
      </c>
      <c r="E46" s="6" t="str">
        <f t="shared" si="3"/>
        <v/>
      </c>
    </row>
    <row r="47" spans="1:5" x14ac:dyDescent="0.2">
      <c r="A47" s="3" t="s">
        <v>45</v>
      </c>
      <c r="B47" s="5">
        <f>72000</f>
        <v>72000</v>
      </c>
      <c r="C47" s="5">
        <f>96000</f>
        <v>96000</v>
      </c>
      <c r="D47" s="5">
        <f t="shared" si="2"/>
        <v>-24000</v>
      </c>
      <c r="E47" s="6">
        <f t="shared" si="3"/>
        <v>0.75</v>
      </c>
    </row>
    <row r="48" spans="1:5" x14ac:dyDescent="0.2">
      <c r="A48" s="3" t="s">
        <v>46</v>
      </c>
      <c r="B48" s="5">
        <f>605.45</f>
        <v>605.45000000000005</v>
      </c>
      <c r="C48" s="5">
        <f>1200</f>
        <v>1200</v>
      </c>
      <c r="D48" s="5">
        <f t="shared" si="2"/>
        <v>-594.54999999999995</v>
      </c>
      <c r="E48" s="6">
        <f t="shared" si="3"/>
        <v>0.50454166666666667</v>
      </c>
    </row>
    <row r="49" spans="1:5" x14ac:dyDescent="0.2">
      <c r="A49" s="3" t="s">
        <v>47</v>
      </c>
      <c r="B49" s="4"/>
      <c r="C49" s="5">
        <f>100</f>
        <v>100</v>
      </c>
      <c r="D49" s="5">
        <f t="shared" si="2"/>
        <v>-100</v>
      </c>
      <c r="E49" s="6">
        <f t="shared" si="3"/>
        <v>0</v>
      </c>
    </row>
    <row r="50" spans="1:5" x14ac:dyDescent="0.2">
      <c r="A50" s="3" t="s">
        <v>48</v>
      </c>
      <c r="B50" s="4"/>
      <c r="C50" s="5">
        <f>100</f>
        <v>100</v>
      </c>
      <c r="D50" s="5">
        <f t="shared" si="2"/>
        <v>-100</v>
      </c>
      <c r="E50" s="6">
        <f t="shared" si="3"/>
        <v>0</v>
      </c>
    </row>
    <row r="51" spans="1:5" x14ac:dyDescent="0.2">
      <c r="A51" s="3" t="s">
        <v>49</v>
      </c>
      <c r="B51" s="7">
        <f>((((B46)+(B47))+(B48))+(B49))+(B50)</f>
        <v>72605.45</v>
      </c>
      <c r="C51" s="7">
        <f>((((C46)+(C47))+(C48))+(C49))+(C50)</f>
        <v>97400</v>
      </c>
      <c r="D51" s="7">
        <f t="shared" si="2"/>
        <v>-24794.550000000003</v>
      </c>
      <c r="E51" s="8">
        <f t="shared" si="3"/>
        <v>0.74543583162217653</v>
      </c>
    </row>
    <row r="52" spans="1:5" x14ac:dyDescent="0.2">
      <c r="A52" s="3" t="s">
        <v>50</v>
      </c>
      <c r="B52" s="4"/>
      <c r="C52" s="4"/>
      <c r="D52" s="5">
        <f t="shared" si="2"/>
        <v>0</v>
      </c>
      <c r="E52" s="6" t="str">
        <f t="shared" si="3"/>
        <v/>
      </c>
    </row>
    <row r="53" spans="1:5" x14ac:dyDescent="0.2">
      <c r="A53" s="3" t="s">
        <v>51</v>
      </c>
      <c r="B53" s="5">
        <f>3308.05</f>
        <v>3308.05</v>
      </c>
      <c r="C53" s="5">
        <f>4000</f>
        <v>4000</v>
      </c>
      <c r="D53" s="5">
        <f t="shared" si="2"/>
        <v>-691.94999999999982</v>
      </c>
      <c r="E53" s="6">
        <f t="shared" si="3"/>
        <v>0.82701250000000004</v>
      </c>
    </row>
    <row r="54" spans="1:5" x14ac:dyDescent="0.2">
      <c r="A54" s="3" t="s">
        <v>52</v>
      </c>
      <c r="B54" s="5">
        <f>16124.94</f>
        <v>16124.94</v>
      </c>
      <c r="C54" s="5">
        <f>21500</f>
        <v>21500</v>
      </c>
      <c r="D54" s="5">
        <f t="shared" si="2"/>
        <v>-5375.0599999999995</v>
      </c>
      <c r="E54" s="6">
        <f t="shared" si="3"/>
        <v>0.74999720930232561</v>
      </c>
    </row>
    <row r="55" spans="1:5" x14ac:dyDescent="0.2">
      <c r="A55" s="3" t="s">
        <v>53</v>
      </c>
      <c r="B55" s="4"/>
      <c r="C55" s="5">
        <f>1000</f>
        <v>1000</v>
      </c>
      <c r="D55" s="5">
        <f t="shared" si="2"/>
        <v>-1000</v>
      </c>
      <c r="E55" s="6">
        <f t="shared" si="3"/>
        <v>0</v>
      </c>
    </row>
    <row r="56" spans="1:5" x14ac:dyDescent="0.2">
      <c r="A56" s="3" t="s">
        <v>54</v>
      </c>
      <c r="B56" s="4"/>
      <c r="C56" s="5">
        <f>1000</f>
        <v>1000</v>
      </c>
      <c r="D56" s="5">
        <f t="shared" si="2"/>
        <v>-1000</v>
      </c>
      <c r="E56" s="6">
        <f t="shared" si="3"/>
        <v>0</v>
      </c>
    </row>
    <row r="57" spans="1:5" x14ac:dyDescent="0.2">
      <c r="A57" s="3" t="s">
        <v>55</v>
      </c>
      <c r="B57" s="5">
        <f>1140</f>
        <v>1140</v>
      </c>
      <c r="C57" s="5">
        <f>500</f>
        <v>500</v>
      </c>
      <c r="D57" s="5">
        <f t="shared" si="2"/>
        <v>640</v>
      </c>
      <c r="E57" s="6">
        <f t="shared" si="3"/>
        <v>2.2799999999999998</v>
      </c>
    </row>
    <row r="58" spans="1:5" x14ac:dyDescent="0.2">
      <c r="A58" s="3" t="s">
        <v>56</v>
      </c>
      <c r="B58" s="4"/>
      <c r="C58" s="5">
        <f>500</f>
        <v>500</v>
      </c>
      <c r="D58" s="5">
        <f t="shared" si="2"/>
        <v>-500</v>
      </c>
      <c r="E58" s="6">
        <f t="shared" si="3"/>
        <v>0</v>
      </c>
    </row>
    <row r="59" spans="1:5" x14ac:dyDescent="0.2">
      <c r="A59" s="3" t="s">
        <v>57</v>
      </c>
      <c r="B59" s="7">
        <f>((((((B52)+(B53))+(B54))+(B55))+(B56))+(B57))+(B58)</f>
        <v>20572.990000000002</v>
      </c>
      <c r="C59" s="7">
        <f>((((((C52)+(C53))+(C54))+(C55))+(C56))+(C57))+(C58)</f>
        <v>28500</v>
      </c>
      <c r="D59" s="7">
        <f t="shared" si="2"/>
        <v>-7927.0099999999984</v>
      </c>
      <c r="E59" s="8">
        <f t="shared" si="3"/>
        <v>0.72185929824561412</v>
      </c>
    </row>
    <row r="60" spans="1:5" x14ac:dyDescent="0.2">
      <c r="A60" s="3" t="s">
        <v>58</v>
      </c>
      <c r="B60" s="4"/>
      <c r="C60" s="4"/>
      <c r="D60" s="5">
        <f t="shared" si="2"/>
        <v>0</v>
      </c>
      <c r="E60" s="6" t="str">
        <f t="shared" si="3"/>
        <v/>
      </c>
    </row>
    <row r="61" spans="1:5" x14ac:dyDescent="0.2">
      <c r="A61" s="3" t="s">
        <v>59</v>
      </c>
      <c r="B61" s="4"/>
      <c r="C61" s="5">
        <f>100</f>
        <v>100</v>
      </c>
      <c r="D61" s="5">
        <f t="shared" si="2"/>
        <v>-100</v>
      </c>
      <c r="E61" s="6">
        <f t="shared" si="3"/>
        <v>0</v>
      </c>
    </row>
    <row r="62" spans="1:5" x14ac:dyDescent="0.2">
      <c r="A62" s="3" t="s">
        <v>60</v>
      </c>
      <c r="B62" s="5">
        <f>5627.01</f>
        <v>5627.01</v>
      </c>
      <c r="C62" s="5">
        <f>7500</f>
        <v>7500</v>
      </c>
      <c r="D62" s="5">
        <f t="shared" ref="D62:D93" si="4">(B62)-(C62)</f>
        <v>-1872.9899999999998</v>
      </c>
      <c r="E62" s="6">
        <f t="shared" ref="E62:E93" si="5">IF(C62=0,"",(B62)/(C62))</f>
        <v>0.75026800000000005</v>
      </c>
    </row>
    <row r="63" spans="1:5" x14ac:dyDescent="0.2">
      <c r="A63" s="3" t="s">
        <v>61</v>
      </c>
      <c r="B63" s="5">
        <f>33993.02</f>
        <v>33993.019999999997</v>
      </c>
      <c r="C63" s="5">
        <f>46318</f>
        <v>46318</v>
      </c>
      <c r="D63" s="5">
        <f t="shared" si="4"/>
        <v>-12324.980000000003</v>
      </c>
      <c r="E63" s="6">
        <f t="shared" si="5"/>
        <v>0.73390517725290372</v>
      </c>
    </row>
    <row r="64" spans="1:5" x14ac:dyDescent="0.2">
      <c r="A64" s="3" t="s">
        <v>62</v>
      </c>
      <c r="B64" s="5">
        <f>26305.99</f>
        <v>26305.99</v>
      </c>
      <c r="C64" s="5">
        <f>29650</f>
        <v>29650</v>
      </c>
      <c r="D64" s="5">
        <f t="shared" si="4"/>
        <v>-3344.0099999999984</v>
      </c>
      <c r="E64" s="6">
        <f t="shared" si="5"/>
        <v>0.88721720067453635</v>
      </c>
    </row>
    <row r="65" spans="1:5" x14ac:dyDescent="0.2">
      <c r="A65" s="3" t="s">
        <v>63</v>
      </c>
      <c r="B65" s="5">
        <f>1102.5</f>
        <v>1102.5</v>
      </c>
      <c r="C65" s="4"/>
      <c r="D65" s="5">
        <f t="shared" si="4"/>
        <v>1102.5</v>
      </c>
      <c r="E65" s="6" t="str">
        <f t="shared" si="5"/>
        <v/>
      </c>
    </row>
    <row r="66" spans="1:5" x14ac:dyDescent="0.2">
      <c r="A66" s="3" t="s">
        <v>64</v>
      </c>
      <c r="B66" s="4"/>
      <c r="C66" s="5">
        <f>10000</f>
        <v>10000</v>
      </c>
      <c r="D66" s="5">
        <f t="shared" si="4"/>
        <v>-10000</v>
      </c>
      <c r="E66" s="6">
        <f t="shared" si="5"/>
        <v>0</v>
      </c>
    </row>
    <row r="67" spans="1:5" x14ac:dyDescent="0.2">
      <c r="A67" s="3" t="s">
        <v>65</v>
      </c>
      <c r="B67" s="5">
        <f>384</f>
        <v>384</v>
      </c>
      <c r="C67" s="4"/>
      <c r="D67" s="5">
        <f t="shared" si="4"/>
        <v>384</v>
      </c>
      <c r="E67" s="6" t="str">
        <f t="shared" si="5"/>
        <v/>
      </c>
    </row>
    <row r="68" spans="1:5" x14ac:dyDescent="0.2">
      <c r="A68" s="3" t="s">
        <v>66</v>
      </c>
      <c r="B68" s="7">
        <f>(((((((B60)+(B61))+(B62))+(B63))+(B64))+(B65))+(B66))+(B67)</f>
        <v>67412.52</v>
      </c>
      <c r="C68" s="7">
        <f>(((((((C60)+(C61))+(C62))+(C63))+(C64))+(C65))+(C66))+(C67)</f>
        <v>93568</v>
      </c>
      <c r="D68" s="7">
        <f t="shared" si="4"/>
        <v>-26155.479999999996</v>
      </c>
      <c r="E68" s="8">
        <f t="shared" si="5"/>
        <v>0.72046554377564986</v>
      </c>
    </row>
    <row r="69" spans="1:5" x14ac:dyDescent="0.2">
      <c r="A69" s="3" t="s">
        <v>67</v>
      </c>
      <c r="B69" s="4"/>
      <c r="C69" s="4"/>
      <c r="D69" s="5">
        <f t="shared" si="4"/>
        <v>0</v>
      </c>
      <c r="E69" s="6" t="str">
        <f t="shared" si="5"/>
        <v/>
      </c>
    </row>
    <row r="70" spans="1:5" x14ac:dyDescent="0.2">
      <c r="A70" s="3" t="s">
        <v>68</v>
      </c>
      <c r="B70" s="5">
        <f>4374.34</f>
        <v>4374.34</v>
      </c>
      <c r="C70" s="5">
        <f>11500</f>
        <v>11500</v>
      </c>
      <c r="D70" s="5">
        <f t="shared" si="4"/>
        <v>-7125.66</v>
      </c>
      <c r="E70" s="6">
        <f t="shared" si="5"/>
        <v>0.38037739130434783</v>
      </c>
    </row>
    <row r="71" spans="1:5" x14ac:dyDescent="0.2">
      <c r="A71" s="3" t="s">
        <v>69</v>
      </c>
      <c r="B71" s="5">
        <f>1800</f>
        <v>1800</v>
      </c>
      <c r="C71" s="5">
        <f>5000</f>
        <v>5000</v>
      </c>
      <c r="D71" s="5">
        <f t="shared" si="4"/>
        <v>-3200</v>
      </c>
      <c r="E71" s="6">
        <f t="shared" si="5"/>
        <v>0.36</v>
      </c>
    </row>
    <row r="72" spans="1:5" x14ac:dyDescent="0.2">
      <c r="A72" s="3" t="s">
        <v>70</v>
      </c>
      <c r="B72" s="5">
        <f>16487.39</f>
        <v>16487.39</v>
      </c>
      <c r="C72" s="5">
        <f>33000</f>
        <v>33000</v>
      </c>
      <c r="D72" s="5">
        <f t="shared" si="4"/>
        <v>-16512.61</v>
      </c>
      <c r="E72" s="6">
        <f t="shared" si="5"/>
        <v>0.49961787878787878</v>
      </c>
    </row>
    <row r="73" spans="1:5" x14ac:dyDescent="0.2">
      <c r="A73" s="3" t="s">
        <v>71</v>
      </c>
      <c r="B73" s="5">
        <f>52.93</f>
        <v>52.93</v>
      </c>
      <c r="C73" s="5">
        <f>4360</f>
        <v>4360</v>
      </c>
      <c r="D73" s="5">
        <f t="shared" si="4"/>
        <v>-4307.07</v>
      </c>
      <c r="E73" s="6">
        <f t="shared" si="5"/>
        <v>1.2139908256880733E-2</v>
      </c>
    </row>
    <row r="74" spans="1:5" x14ac:dyDescent="0.2">
      <c r="A74" s="3" t="s">
        <v>72</v>
      </c>
      <c r="B74" s="5">
        <f>4500</f>
        <v>4500</v>
      </c>
      <c r="C74" s="5">
        <f>6300</f>
        <v>6300</v>
      </c>
      <c r="D74" s="5">
        <f t="shared" si="4"/>
        <v>-1800</v>
      </c>
      <c r="E74" s="6">
        <f t="shared" si="5"/>
        <v>0.7142857142857143</v>
      </c>
    </row>
    <row r="75" spans="1:5" x14ac:dyDescent="0.2">
      <c r="A75" s="3" t="s">
        <v>73</v>
      </c>
      <c r="B75" s="5">
        <f>315</f>
        <v>315</v>
      </c>
      <c r="C75" s="5">
        <f>420</f>
        <v>420</v>
      </c>
      <c r="D75" s="5">
        <f t="shared" si="4"/>
        <v>-105</v>
      </c>
      <c r="E75" s="6">
        <f t="shared" si="5"/>
        <v>0.75</v>
      </c>
    </row>
    <row r="76" spans="1:5" x14ac:dyDescent="0.2">
      <c r="A76" s="3" t="s">
        <v>74</v>
      </c>
      <c r="B76" s="7">
        <f>((((((B69)+(B70))+(B71))+(B72))+(B73))+(B74))+(B75)</f>
        <v>27529.66</v>
      </c>
      <c r="C76" s="7">
        <f>((((((C69)+(C70))+(C71))+(C72))+(C73))+(C74))+(C75)</f>
        <v>60580</v>
      </c>
      <c r="D76" s="7">
        <f t="shared" si="4"/>
        <v>-33050.339999999997</v>
      </c>
      <c r="E76" s="8">
        <f t="shared" si="5"/>
        <v>0.45443479696269395</v>
      </c>
    </row>
    <row r="77" spans="1:5" x14ac:dyDescent="0.2">
      <c r="A77" s="3" t="s">
        <v>75</v>
      </c>
      <c r="B77" s="4"/>
      <c r="C77" s="4"/>
      <c r="D77" s="5">
        <f t="shared" si="4"/>
        <v>0</v>
      </c>
      <c r="E77" s="6" t="str">
        <f t="shared" si="5"/>
        <v/>
      </c>
    </row>
    <row r="78" spans="1:5" x14ac:dyDescent="0.2">
      <c r="A78" s="3" t="s">
        <v>76</v>
      </c>
      <c r="B78" s="5">
        <f>46405.55</f>
        <v>46405.55</v>
      </c>
      <c r="C78" s="5">
        <f>59840</f>
        <v>59840</v>
      </c>
      <c r="D78" s="5">
        <f t="shared" si="4"/>
        <v>-13434.449999999997</v>
      </c>
      <c r="E78" s="6">
        <f t="shared" si="5"/>
        <v>0.7754938168449198</v>
      </c>
    </row>
    <row r="79" spans="1:5" x14ac:dyDescent="0.2">
      <c r="A79" s="3" t="s">
        <v>77</v>
      </c>
      <c r="B79" s="5">
        <f>3221</f>
        <v>3221</v>
      </c>
      <c r="C79" s="5">
        <f>3250</f>
        <v>3250</v>
      </c>
      <c r="D79" s="5">
        <f t="shared" si="4"/>
        <v>-29</v>
      </c>
      <c r="E79" s="6">
        <f t="shared" si="5"/>
        <v>0.99107692307692308</v>
      </c>
    </row>
    <row r="80" spans="1:5" x14ac:dyDescent="0.2">
      <c r="A80" s="3" t="s">
        <v>78</v>
      </c>
      <c r="B80" s="4"/>
      <c r="C80" s="5">
        <f>60000</f>
        <v>60000</v>
      </c>
      <c r="D80" s="5">
        <f t="shared" si="4"/>
        <v>-60000</v>
      </c>
      <c r="E80" s="6">
        <f t="shared" si="5"/>
        <v>0</v>
      </c>
    </row>
    <row r="81" spans="1:5" x14ac:dyDescent="0.2">
      <c r="A81" s="3" t="s">
        <v>79</v>
      </c>
      <c r="B81" s="4"/>
      <c r="C81" s="5">
        <f>2490</f>
        <v>2490</v>
      </c>
      <c r="D81" s="5">
        <f t="shared" si="4"/>
        <v>-2490</v>
      </c>
      <c r="E81" s="6">
        <f t="shared" si="5"/>
        <v>0</v>
      </c>
    </row>
    <row r="82" spans="1:5" x14ac:dyDescent="0.2">
      <c r="A82" s="3" t="s">
        <v>80</v>
      </c>
      <c r="B82" s="7">
        <f>((((B77)+(B78))+(B79))+(B80))+(B81)</f>
        <v>49626.55</v>
      </c>
      <c r="C82" s="7">
        <f>((((C77)+(C78))+(C79))+(C80))+(C81)</f>
        <v>125580</v>
      </c>
      <c r="D82" s="7">
        <f t="shared" si="4"/>
        <v>-75953.45</v>
      </c>
      <c r="E82" s="8">
        <f t="shared" si="5"/>
        <v>0.3951787705048575</v>
      </c>
    </row>
    <row r="83" spans="1:5" x14ac:dyDescent="0.2">
      <c r="A83" s="3" t="s">
        <v>81</v>
      </c>
      <c r="B83" s="4"/>
      <c r="C83" s="4"/>
      <c r="D83" s="5">
        <f t="shared" si="4"/>
        <v>0</v>
      </c>
      <c r="E83" s="6" t="str">
        <f t="shared" si="5"/>
        <v/>
      </c>
    </row>
    <row r="84" spans="1:5" x14ac:dyDescent="0.2">
      <c r="A84" s="3" t="s">
        <v>82</v>
      </c>
      <c r="B84" s="5">
        <f>1062</f>
        <v>1062</v>
      </c>
      <c r="C84" s="5">
        <f>5000</f>
        <v>5000</v>
      </c>
      <c r="D84" s="5">
        <f t="shared" si="4"/>
        <v>-3938</v>
      </c>
      <c r="E84" s="6">
        <f t="shared" si="5"/>
        <v>0.21240000000000001</v>
      </c>
    </row>
    <row r="85" spans="1:5" x14ac:dyDescent="0.2">
      <c r="A85" s="3" t="s">
        <v>83</v>
      </c>
      <c r="B85" s="7">
        <f>(B83)+(B84)</f>
        <v>1062</v>
      </c>
      <c r="C85" s="7">
        <f>(C83)+(C84)</f>
        <v>5000</v>
      </c>
      <c r="D85" s="7">
        <f t="shared" si="4"/>
        <v>-3938</v>
      </c>
      <c r="E85" s="8">
        <f t="shared" si="5"/>
        <v>0.21240000000000001</v>
      </c>
    </row>
    <row r="86" spans="1:5" x14ac:dyDescent="0.2">
      <c r="A86" s="3" t="s">
        <v>84</v>
      </c>
      <c r="B86" s="4"/>
      <c r="C86" s="4"/>
      <c r="D86" s="5">
        <f t="shared" si="4"/>
        <v>0</v>
      </c>
      <c r="E86" s="6" t="str">
        <f t="shared" si="5"/>
        <v/>
      </c>
    </row>
    <row r="87" spans="1:5" x14ac:dyDescent="0.2">
      <c r="A87" s="3" t="s">
        <v>85</v>
      </c>
      <c r="B87" s="4"/>
      <c r="C87" s="5">
        <f>100</f>
        <v>100</v>
      </c>
      <c r="D87" s="5">
        <f t="shared" si="4"/>
        <v>-100</v>
      </c>
      <c r="E87" s="6">
        <f t="shared" si="5"/>
        <v>0</v>
      </c>
    </row>
    <row r="88" spans="1:5" x14ac:dyDescent="0.2">
      <c r="A88" s="3" t="s">
        <v>86</v>
      </c>
      <c r="B88" s="5">
        <f>1000</f>
        <v>1000</v>
      </c>
      <c r="C88" s="5">
        <f>1000</f>
        <v>1000</v>
      </c>
      <c r="D88" s="5">
        <f t="shared" si="4"/>
        <v>0</v>
      </c>
      <c r="E88" s="6">
        <f t="shared" si="5"/>
        <v>1</v>
      </c>
    </row>
    <row r="89" spans="1:5" x14ac:dyDescent="0.2">
      <c r="A89" s="3" t="s">
        <v>87</v>
      </c>
      <c r="B89" s="4"/>
      <c r="C89" s="5">
        <f>500</f>
        <v>500</v>
      </c>
      <c r="D89" s="5">
        <f t="shared" si="4"/>
        <v>-500</v>
      </c>
      <c r="E89" s="6">
        <f t="shared" si="5"/>
        <v>0</v>
      </c>
    </row>
    <row r="90" spans="1:5" x14ac:dyDescent="0.2">
      <c r="A90" s="3" t="s">
        <v>88</v>
      </c>
      <c r="B90" s="4"/>
      <c r="C90" s="5">
        <f>100</f>
        <v>100</v>
      </c>
      <c r="D90" s="5">
        <f t="shared" si="4"/>
        <v>-100</v>
      </c>
      <c r="E90" s="6">
        <f t="shared" si="5"/>
        <v>0</v>
      </c>
    </row>
    <row r="91" spans="1:5" x14ac:dyDescent="0.2">
      <c r="A91" s="3" t="s">
        <v>89</v>
      </c>
      <c r="B91" s="7">
        <f>((((B86)+(B87))+(B88))+(B89))+(B90)</f>
        <v>1000</v>
      </c>
      <c r="C91" s="7">
        <f>((((C86)+(C87))+(C88))+(C89))+(C90)</f>
        <v>1700</v>
      </c>
      <c r="D91" s="7">
        <f t="shared" si="4"/>
        <v>-700</v>
      </c>
      <c r="E91" s="8">
        <f t="shared" si="5"/>
        <v>0.58823529411764708</v>
      </c>
    </row>
    <row r="92" spans="1:5" x14ac:dyDescent="0.2">
      <c r="A92" s="3" t="s">
        <v>90</v>
      </c>
      <c r="B92" s="4"/>
      <c r="C92" s="5">
        <f>100</f>
        <v>100</v>
      </c>
      <c r="D92" s="5">
        <f t="shared" si="4"/>
        <v>-100</v>
      </c>
      <c r="E92" s="6">
        <f t="shared" si="5"/>
        <v>0</v>
      </c>
    </row>
    <row r="93" spans="1:5" x14ac:dyDescent="0.2">
      <c r="A93" s="3" t="s">
        <v>91</v>
      </c>
      <c r="B93" s="4"/>
      <c r="C93" s="4"/>
      <c r="D93" s="5">
        <f t="shared" si="4"/>
        <v>0</v>
      </c>
      <c r="E93" s="6" t="str">
        <f t="shared" si="5"/>
        <v/>
      </c>
    </row>
    <row r="94" spans="1:5" x14ac:dyDescent="0.2">
      <c r="A94" s="3" t="s">
        <v>92</v>
      </c>
      <c r="B94" s="4"/>
      <c r="C94" s="5">
        <f>100</f>
        <v>100</v>
      </c>
      <c r="D94" s="5">
        <f t="shared" ref="D94:D105" si="6">(B94)-(C94)</f>
        <v>-100</v>
      </c>
      <c r="E94" s="6">
        <f t="shared" ref="E94:E105" si="7">IF(C94=0,"",(B94)/(C94))</f>
        <v>0</v>
      </c>
    </row>
    <row r="95" spans="1:5" x14ac:dyDescent="0.2">
      <c r="A95" s="3" t="s">
        <v>93</v>
      </c>
      <c r="B95" s="7">
        <f>(B93)+(B94)</f>
        <v>0</v>
      </c>
      <c r="C95" s="7">
        <f>(C93)+(C94)</f>
        <v>100</v>
      </c>
      <c r="D95" s="7">
        <f t="shared" si="6"/>
        <v>-100</v>
      </c>
      <c r="E95" s="8">
        <f t="shared" si="7"/>
        <v>0</v>
      </c>
    </row>
    <row r="96" spans="1:5" x14ac:dyDescent="0.2">
      <c r="A96" s="3" t="s">
        <v>94</v>
      </c>
      <c r="B96" s="4"/>
      <c r="C96" s="4"/>
      <c r="D96" s="5">
        <f t="shared" si="6"/>
        <v>0</v>
      </c>
      <c r="E96" s="6" t="str">
        <f t="shared" si="7"/>
        <v/>
      </c>
    </row>
    <row r="97" spans="1:5" x14ac:dyDescent="0.2">
      <c r="A97" s="3" t="s">
        <v>95</v>
      </c>
      <c r="B97" s="4"/>
      <c r="C97" s="5">
        <f>100</f>
        <v>100</v>
      </c>
      <c r="D97" s="5">
        <f t="shared" si="6"/>
        <v>-100</v>
      </c>
      <c r="E97" s="6">
        <f t="shared" si="7"/>
        <v>0</v>
      </c>
    </row>
    <row r="98" spans="1:5" x14ac:dyDescent="0.2">
      <c r="A98" s="3" t="s">
        <v>96</v>
      </c>
      <c r="B98" s="5">
        <f>9374.94</f>
        <v>9374.94</v>
      </c>
      <c r="C98" s="5">
        <f>12500</f>
        <v>12500</v>
      </c>
      <c r="D98" s="5">
        <f t="shared" si="6"/>
        <v>-3125.0599999999995</v>
      </c>
      <c r="E98" s="6">
        <f t="shared" si="7"/>
        <v>0.74999520000000008</v>
      </c>
    </row>
    <row r="99" spans="1:5" x14ac:dyDescent="0.2">
      <c r="A99" s="3" t="s">
        <v>97</v>
      </c>
      <c r="B99" s="5">
        <f>22831.91</f>
        <v>22831.91</v>
      </c>
      <c r="C99" s="5">
        <f>35000</f>
        <v>35000</v>
      </c>
      <c r="D99" s="5">
        <f t="shared" si="6"/>
        <v>-12168.09</v>
      </c>
      <c r="E99" s="6">
        <f t="shared" si="7"/>
        <v>0.65234028571428571</v>
      </c>
    </row>
    <row r="100" spans="1:5" x14ac:dyDescent="0.2">
      <c r="A100" s="3" t="s">
        <v>98</v>
      </c>
      <c r="B100" s="7">
        <f>(((B96)+(B97))+(B98))+(B99)</f>
        <v>32206.85</v>
      </c>
      <c r="C100" s="7">
        <f>(((C96)+(C97))+(C98))+(C99)</f>
        <v>47600</v>
      </c>
      <c r="D100" s="7">
        <f t="shared" si="6"/>
        <v>-15393.150000000001</v>
      </c>
      <c r="E100" s="8">
        <f t="shared" si="7"/>
        <v>0.67661449579831934</v>
      </c>
    </row>
    <row r="101" spans="1:5" x14ac:dyDescent="0.2">
      <c r="A101" s="3" t="s">
        <v>99</v>
      </c>
      <c r="B101" s="5">
        <f>176.26</f>
        <v>176.26</v>
      </c>
      <c r="C101" s="4"/>
      <c r="D101" s="5">
        <f t="shared" si="6"/>
        <v>176.26</v>
      </c>
      <c r="E101" s="6" t="str">
        <f t="shared" si="7"/>
        <v/>
      </c>
    </row>
    <row r="102" spans="1:5" x14ac:dyDescent="0.2">
      <c r="A102" s="3" t="s">
        <v>100</v>
      </c>
      <c r="B102" s="5">
        <f>1500</f>
        <v>1500</v>
      </c>
      <c r="C102" s="4"/>
      <c r="D102" s="5">
        <f t="shared" si="6"/>
        <v>1500</v>
      </c>
      <c r="E102" s="6" t="str">
        <f t="shared" si="7"/>
        <v/>
      </c>
    </row>
    <row r="103" spans="1:5" x14ac:dyDescent="0.2">
      <c r="A103" s="3" t="s">
        <v>101</v>
      </c>
      <c r="B103" s="7">
        <f>(((((((((((((B40)+(B45))+(B51))+(B59))+(B68))+(B76))+(B82))+(B85))+(B91))+(B92))+(B95))+(B100))+(B101))+(B102)</f>
        <v>366852.60999999993</v>
      </c>
      <c r="C103" s="7">
        <f>(((((((((((((C40)+(C45))+(C51))+(C59))+(C68))+(C76))+(C82))+(C85))+(C91))+(C92))+(C95))+(C100))+(C101))+(C102)</f>
        <v>617753</v>
      </c>
      <c r="D103" s="7">
        <f t="shared" si="6"/>
        <v>-250900.39000000007</v>
      </c>
      <c r="E103" s="8">
        <f t="shared" si="7"/>
        <v>0.59384998535013178</v>
      </c>
    </row>
    <row r="104" spans="1:5" x14ac:dyDescent="0.2">
      <c r="A104" s="3" t="s">
        <v>102</v>
      </c>
      <c r="B104" s="7">
        <f>(B28)-(B103)</f>
        <v>6458.6000000000931</v>
      </c>
      <c r="C104" s="7">
        <f>(C28)-(C103)</f>
        <v>21800</v>
      </c>
      <c r="D104" s="7">
        <f t="shared" si="6"/>
        <v>-15341.399999999907</v>
      </c>
      <c r="E104" s="8">
        <f t="shared" si="7"/>
        <v>0.29626605504587583</v>
      </c>
    </row>
    <row r="105" spans="1:5" x14ac:dyDescent="0.2">
      <c r="A105" s="3" t="s">
        <v>103</v>
      </c>
      <c r="B105" s="9">
        <f>(B104)+(0)</f>
        <v>6458.6000000000931</v>
      </c>
      <c r="C105" s="9">
        <f>(C104)+(0)</f>
        <v>21800</v>
      </c>
      <c r="D105" s="9">
        <f t="shared" si="6"/>
        <v>-15341.399999999907</v>
      </c>
      <c r="E105" s="10">
        <f t="shared" si="7"/>
        <v>0.29626605504587583</v>
      </c>
    </row>
    <row r="106" spans="1:5" x14ac:dyDescent="0.2">
      <c r="A106" s="3"/>
      <c r="B106" s="4"/>
      <c r="C106" s="4"/>
      <c r="D106" s="4"/>
      <c r="E106" s="4"/>
    </row>
    <row r="109" spans="1:5" x14ac:dyDescent="0.2">
      <c r="A109" s="13" t="s">
        <v>104</v>
      </c>
      <c r="B109" s="14"/>
      <c r="C109" s="14"/>
      <c r="D109" s="14"/>
      <c r="E109" s="14"/>
    </row>
  </sheetData>
  <mergeCells count="5">
    <mergeCell ref="B5:E5"/>
    <mergeCell ref="A109:E109"/>
    <mergeCell ref="A1:E1"/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2021-09-23T23:48:50Z</cp:lastPrinted>
  <dcterms:created xsi:type="dcterms:W3CDTF">2021-09-23T23:07:23Z</dcterms:created>
  <dcterms:modified xsi:type="dcterms:W3CDTF">2021-09-23T23:48:55Z</dcterms:modified>
</cp:coreProperties>
</file>