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pcity/Desktop/"/>
    </mc:Choice>
  </mc:AlternateContent>
  <xr:revisionPtr revIDLastSave="0" documentId="13_ncr:1_{EF9E4D77-9401-7A47-AC27-F5068B660973}" xr6:coauthVersionLast="47" xr6:coauthVersionMax="47" xr10:uidLastSave="{00000000-0000-0000-0000-000000000000}"/>
  <bookViews>
    <workbookView xWindow="4060" yWindow="980" windowWidth="30060" windowHeight="19860" activeTab="1" xr2:uid="{00000000-000D-0000-FFFF-FFFF00000000}"/>
  </bookViews>
  <sheets>
    <sheet name="Profit and Loss" sheetId="1" r:id="rId1"/>
    <sheet name="Budget vs. Actuals" sheetId="2" r:id="rId2"/>
    <sheet name="Balance Shee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B10" i="3"/>
  <c r="B11" i="3"/>
  <c r="B12" i="3"/>
  <c r="B35" i="3" s="1"/>
  <c r="B39" i="3" s="1"/>
  <c r="B40" i="3" s="1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7" i="3"/>
  <c r="B38" i="3" s="1"/>
  <c r="B45" i="3"/>
  <c r="B46" i="3" s="1"/>
  <c r="B56" i="3" s="1"/>
  <c r="B57" i="3" s="1"/>
  <c r="B65" i="3" s="1"/>
  <c r="B48" i="3"/>
  <c r="B49" i="3"/>
  <c r="B51" i="3" s="1"/>
  <c r="B50" i="3"/>
  <c r="B53" i="3"/>
  <c r="B54" i="3"/>
  <c r="B55" i="3"/>
  <c r="B59" i="3"/>
  <c r="B60" i="3"/>
  <c r="B61" i="3"/>
  <c r="B62" i="3"/>
  <c r="B63" i="3"/>
  <c r="B64" i="3"/>
  <c r="D8" i="2"/>
  <c r="E8" i="2"/>
  <c r="B9" i="2"/>
  <c r="C9" i="2"/>
  <c r="E9" i="2" s="1"/>
  <c r="B10" i="2"/>
  <c r="C10" i="2"/>
  <c r="E10" i="2" s="1"/>
  <c r="B11" i="2"/>
  <c r="C11" i="2"/>
  <c r="E11" i="2" s="1"/>
  <c r="C12" i="2"/>
  <c r="E12" i="2" s="1"/>
  <c r="D12" i="2"/>
  <c r="D14" i="2"/>
  <c r="E14" i="2"/>
  <c r="B15" i="2"/>
  <c r="C15" i="2"/>
  <c r="B16" i="2"/>
  <c r="D16" i="2" s="1"/>
  <c r="C16" i="2"/>
  <c r="C17" i="2"/>
  <c r="B18" i="2"/>
  <c r="D18" i="2" s="1"/>
  <c r="E18" i="2"/>
  <c r="B19" i="2"/>
  <c r="D19" i="2"/>
  <c r="E19" i="2"/>
  <c r="D20" i="2"/>
  <c r="E20" i="2"/>
  <c r="B21" i="2"/>
  <c r="D21" i="2" s="1"/>
  <c r="C21" i="2"/>
  <c r="C22" i="2"/>
  <c r="D23" i="2"/>
  <c r="E23" i="2"/>
  <c r="B24" i="2"/>
  <c r="C24" i="2"/>
  <c r="E24" i="2" s="1"/>
  <c r="D24" i="2"/>
  <c r="B25" i="2"/>
  <c r="C26" i="2"/>
  <c r="E26" i="2" s="1"/>
  <c r="D26" i="2"/>
  <c r="D30" i="2"/>
  <c r="E30" i="2"/>
  <c r="B31" i="2"/>
  <c r="B40" i="2" s="1"/>
  <c r="C31" i="2"/>
  <c r="B32" i="2"/>
  <c r="C32" i="2"/>
  <c r="E32" i="2" s="1"/>
  <c r="B33" i="2"/>
  <c r="C33" i="2"/>
  <c r="B34" i="2"/>
  <c r="C34" i="2"/>
  <c r="E34" i="2" s="1"/>
  <c r="B35" i="2"/>
  <c r="C35" i="2"/>
  <c r="B36" i="2"/>
  <c r="C36" i="2"/>
  <c r="E36" i="2" s="1"/>
  <c r="B37" i="2"/>
  <c r="C37" i="2"/>
  <c r="B38" i="2"/>
  <c r="C38" i="2"/>
  <c r="E38" i="2" s="1"/>
  <c r="B39" i="2"/>
  <c r="C39" i="2"/>
  <c r="C40" i="2"/>
  <c r="D41" i="2"/>
  <c r="E41" i="2"/>
  <c r="B42" i="2"/>
  <c r="C42" i="2"/>
  <c r="E42" i="2" s="1"/>
  <c r="D42" i="2"/>
  <c r="C43" i="2"/>
  <c r="D43" i="2"/>
  <c r="E43" i="2"/>
  <c r="C44" i="2"/>
  <c r="B45" i="2"/>
  <c r="C45" i="2"/>
  <c r="E45" i="2" s="1"/>
  <c r="D46" i="2"/>
  <c r="E46" i="2"/>
  <c r="B47" i="2"/>
  <c r="C47" i="2"/>
  <c r="E47" i="2" s="1"/>
  <c r="D47" i="2"/>
  <c r="B48" i="2"/>
  <c r="C48" i="2"/>
  <c r="E48" i="2" s="1"/>
  <c r="D48" i="2"/>
  <c r="C49" i="2"/>
  <c r="D49" i="2"/>
  <c r="E49" i="2"/>
  <c r="C50" i="2"/>
  <c r="B51" i="2"/>
  <c r="C51" i="2"/>
  <c r="E51" i="2" s="1"/>
  <c r="D52" i="2"/>
  <c r="E52" i="2"/>
  <c r="B53" i="2"/>
  <c r="C53" i="2"/>
  <c r="E53" i="2" s="1"/>
  <c r="D53" i="2"/>
  <c r="B54" i="2"/>
  <c r="C54" i="2"/>
  <c r="E54" i="2" s="1"/>
  <c r="D54" i="2"/>
  <c r="C55" i="2"/>
  <c r="D55" i="2" s="1"/>
  <c r="E55" i="2"/>
  <c r="C56" i="2"/>
  <c r="B57" i="2"/>
  <c r="C57" i="2"/>
  <c r="E57" i="2" s="1"/>
  <c r="C58" i="2"/>
  <c r="E58" i="2" s="1"/>
  <c r="D58" i="2"/>
  <c r="D60" i="2"/>
  <c r="E60" i="2"/>
  <c r="C61" i="2"/>
  <c r="B62" i="2"/>
  <c r="C62" i="2"/>
  <c r="B63" i="2"/>
  <c r="C63" i="2"/>
  <c r="B64" i="2"/>
  <c r="C64" i="2"/>
  <c r="B65" i="2"/>
  <c r="E65" i="2"/>
  <c r="B66" i="2"/>
  <c r="D66" i="2"/>
  <c r="E66" i="2"/>
  <c r="C67" i="2"/>
  <c r="D67" i="2" s="1"/>
  <c r="B68" i="2"/>
  <c r="D68" i="2" s="1"/>
  <c r="E68" i="2"/>
  <c r="C69" i="2"/>
  <c r="D70" i="2"/>
  <c r="E70" i="2"/>
  <c r="B71" i="2"/>
  <c r="D71" i="2" s="1"/>
  <c r="C71" i="2"/>
  <c r="E71" i="2" s="1"/>
  <c r="B72" i="2"/>
  <c r="D72" i="2" s="1"/>
  <c r="C72" i="2"/>
  <c r="E72" i="2" s="1"/>
  <c r="B73" i="2"/>
  <c r="D73" i="2" s="1"/>
  <c r="C73" i="2"/>
  <c r="E73" i="2" s="1"/>
  <c r="B74" i="2"/>
  <c r="D74" i="2" s="1"/>
  <c r="C74" i="2"/>
  <c r="E74" i="2" s="1"/>
  <c r="B75" i="2"/>
  <c r="C75" i="2"/>
  <c r="D75" i="2" s="1"/>
  <c r="B76" i="2"/>
  <c r="C76" i="2"/>
  <c r="D76" i="2" s="1"/>
  <c r="B77" i="2"/>
  <c r="C77" i="2"/>
  <c r="D77" i="2" s="1"/>
  <c r="D78" i="2"/>
  <c r="E78" i="2"/>
  <c r="B79" i="2"/>
  <c r="B80" i="2"/>
  <c r="C80" i="2"/>
  <c r="E80" i="2"/>
  <c r="C81" i="2"/>
  <c r="E81" i="2" s="1"/>
  <c r="C82" i="2"/>
  <c r="D82" i="2"/>
  <c r="E82" i="2"/>
  <c r="C83" i="2"/>
  <c r="D84" i="2"/>
  <c r="E84" i="2"/>
  <c r="B85" i="2"/>
  <c r="C85" i="2"/>
  <c r="E85" i="2" s="1"/>
  <c r="D87" i="2"/>
  <c r="E87" i="2"/>
  <c r="C88" i="2"/>
  <c r="E88" i="2" s="1"/>
  <c r="D88" i="2"/>
  <c r="B89" i="2"/>
  <c r="C89" i="2"/>
  <c r="E89" i="2" s="1"/>
  <c r="D89" i="2"/>
  <c r="C90" i="2"/>
  <c r="D90" i="2" s="1"/>
  <c r="C91" i="2"/>
  <c r="E91" i="2" s="1"/>
  <c r="D91" i="2"/>
  <c r="B92" i="2"/>
  <c r="C93" i="2"/>
  <c r="D93" i="2" s="1"/>
  <c r="D94" i="2"/>
  <c r="E94" i="2"/>
  <c r="C95" i="2"/>
  <c r="D95" i="2"/>
  <c r="E95" i="2"/>
  <c r="B96" i="2"/>
  <c r="C96" i="2"/>
  <c r="D97" i="2"/>
  <c r="E97" i="2"/>
  <c r="C98" i="2"/>
  <c r="D98" i="2"/>
  <c r="E98" i="2"/>
  <c r="B99" i="2"/>
  <c r="D99" i="2" s="1"/>
  <c r="C99" i="2"/>
  <c r="B100" i="2"/>
  <c r="D100" i="2" s="1"/>
  <c r="C100" i="2"/>
  <c r="B101" i="2"/>
  <c r="D101" i="2" s="1"/>
  <c r="C101" i="2"/>
  <c r="B102" i="2"/>
  <c r="D102" i="2" s="1"/>
  <c r="E102" i="2"/>
  <c r="B103" i="2"/>
  <c r="D103" i="2" s="1"/>
  <c r="E103" i="2"/>
  <c r="B52" i="1"/>
  <c r="B51" i="1"/>
  <c r="B50" i="1"/>
  <c r="B47" i="1"/>
  <c r="B48" i="1" s="1"/>
  <c r="B45" i="1"/>
  <c r="B44" i="1"/>
  <c r="B41" i="1"/>
  <c r="B40" i="1"/>
  <c r="B39" i="1"/>
  <c r="B38" i="1"/>
  <c r="B42" i="1" s="1"/>
  <c r="B35" i="1"/>
  <c r="B34" i="1"/>
  <c r="B33" i="1"/>
  <c r="B32" i="1"/>
  <c r="B36" i="1" s="1"/>
  <c r="B30" i="1"/>
  <c r="B29" i="1"/>
  <c r="B28" i="1"/>
  <c r="B25" i="1"/>
  <c r="B26" i="1" s="1"/>
  <c r="B22" i="1"/>
  <c r="B21" i="1"/>
  <c r="B20" i="1"/>
  <c r="B19" i="1"/>
  <c r="B18" i="1"/>
  <c r="B23" i="1" s="1"/>
  <c r="B12" i="1"/>
  <c r="B13" i="1" s="1"/>
  <c r="B9" i="1"/>
  <c r="B10" i="1" s="1"/>
  <c r="B8" i="1"/>
  <c r="E101" i="2" l="1"/>
  <c r="E99" i="2"/>
  <c r="D63" i="2"/>
  <c r="E40" i="2"/>
  <c r="B17" i="2"/>
  <c r="D17" i="2" s="1"/>
  <c r="E16" i="2"/>
  <c r="D15" i="2"/>
  <c r="E100" i="2"/>
  <c r="C13" i="2"/>
  <c r="E90" i="2"/>
  <c r="D96" i="2"/>
  <c r="E67" i="2"/>
  <c r="D64" i="2"/>
  <c r="D62" i="2"/>
  <c r="C59" i="2"/>
  <c r="E59" i="2" s="1"/>
  <c r="E39" i="2"/>
  <c r="E37" i="2"/>
  <c r="E35" i="2"/>
  <c r="E33" i="2"/>
  <c r="E31" i="2"/>
  <c r="C25" i="2"/>
  <c r="E25" i="2" s="1"/>
  <c r="D40" i="2"/>
  <c r="D37" i="2"/>
  <c r="D35" i="2"/>
  <c r="D34" i="2"/>
  <c r="D31" i="2"/>
  <c r="D50" i="2"/>
  <c r="E50" i="2"/>
  <c r="D45" i="2"/>
  <c r="C27" i="2"/>
  <c r="D79" i="2"/>
  <c r="B83" i="2"/>
  <c r="D56" i="2"/>
  <c r="E56" i="2"/>
  <c r="E96" i="2"/>
  <c r="D85" i="2"/>
  <c r="D57" i="2"/>
  <c r="B59" i="2"/>
  <c r="D44" i="2"/>
  <c r="E44" i="2"/>
  <c r="D39" i="2"/>
  <c r="D38" i="2"/>
  <c r="D36" i="2"/>
  <c r="D33" i="2"/>
  <c r="D32" i="2"/>
  <c r="E93" i="2"/>
  <c r="C86" i="2"/>
  <c r="D80" i="2"/>
  <c r="E79" i="2"/>
  <c r="E77" i="2"/>
  <c r="E76" i="2"/>
  <c r="E75" i="2"/>
  <c r="C92" i="2"/>
  <c r="B86" i="2"/>
  <c r="D81" i="2"/>
  <c r="B69" i="2"/>
  <c r="D65" i="2"/>
  <c r="E64" i="2"/>
  <c r="E63" i="2"/>
  <c r="E62" i="2"/>
  <c r="D61" i="2"/>
  <c r="E61" i="2"/>
  <c r="D51" i="2"/>
  <c r="B22" i="2"/>
  <c r="E21" i="2"/>
  <c r="E17" i="2"/>
  <c r="E15" i="2"/>
  <c r="D11" i="2"/>
  <c r="D10" i="2"/>
  <c r="D9" i="2"/>
  <c r="B13" i="2"/>
  <c r="B53" i="1"/>
  <c r="B14" i="1"/>
  <c r="B15" i="1" s="1"/>
  <c r="B54" i="1" s="1"/>
  <c r="B55" i="1" s="1"/>
  <c r="D25" i="2" l="1"/>
  <c r="D69" i="2"/>
  <c r="D86" i="2"/>
  <c r="E92" i="2"/>
  <c r="D83" i="2"/>
  <c r="B27" i="2"/>
  <c r="D13" i="2"/>
  <c r="C28" i="2"/>
  <c r="E27" i="2"/>
  <c r="E13" i="2"/>
  <c r="D92" i="2"/>
  <c r="D22" i="2"/>
  <c r="E22" i="2"/>
  <c r="C104" i="2"/>
  <c r="E86" i="2"/>
  <c r="D59" i="2"/>
  <c r="B104" i="2"/>
  <c r="E69" i="2"/>
  <c r="E83" i="2"/>
  <c r="C105" i="2" l="1"/>
  <c r="B28" i="2"/>
  <c r="E28" i="2" s="1"/>
  <c r="D27" i="2"/>
  <c r="D104" i="2"/>
  <c r="E104" i="2"/>
  <c r="D28" i="2" l="1"/>
  <c r="B105" i="2"/>
  <c r="E105" i="2" s="1"/>
  <c r="C106" i="2"/>
  <c r="D105" i="2" l="1"/>
  <c r="B106" i="2"/>
  <c r="E106" i="2" s="1"/>
  <c r="D106" i="2" l="1"/>
</calcChain>
</file>

<file path=xl/sharedStrings.xml><?xml version="1.0" encoding="utf-8"?>
<sst xmlns="http://schemas.openxmlformats.org/spreadsheetml/2006/main" count="236" uniqueCount="183">
  <si>
    <t>Total</t>
  </si>
  <si>
    <t>Income</t>
  </si>
  <si>
    <t xml:space="preserve">   4100 Dues &amp; Conference</t>
  </si>
  <si>
    <t xml:space="preserve">      4120 Dues - Chapter Only</t>
  </si>
  <si>
    <t xml:space="preserve">      4125 Conference Profit Current 2021</t>
  </si>
  <si>
    <t xml:space="preserve">   Total 4100 Dues &amp; Conference</t>
  </si>
  <si>
    <t xml:space="preserve">   4500 Public Information Income</t>
  </si>
  <si>
    <t xml:space="preserve">      4520 Web Ads &amp; Newsletter Subscriptions</t>
  </si>
  <si>
    <t xml:space="preserve">   Total 4500 Public Information Income</t>
  </si>
  <si>
    <t>Total Income</t>
  </si>
  <si>
    <t>Gross Profit</t>
  </si>
  <si>
    <t>Expenses</t>
  </si>
  <si>
    <t xml:space="preserve">   5100 Operations Expense</t>
  </si>
  <si>
    <t xml:space="preserve">      5105 Management</t>
  </si>
  <si>
    <t xml:space="preserve">      5110 Operations/Miscellaneous</t>
  </si>
  <si>
    <t xml:space="preserve">      5175 Merchant Credit Card Fee</t>
  </si>
  <si>
    <t xml:space="preserve">      5180 ATEGO Resources</t>
  </si>
  <si>
    <t xml:space="preserve">      5185 New Horizon Enterprise</t>
  </si>
  <si>
    <t xml:space="preserve">   Total 5100 Operations Expense</t>
  </si>
  <si>
    <t xml:space="preserve">   5300 Policy &amp; Legislation</t>
  </si>
  <si>
    <t xml:space="preserve">      5305 Lobbying Expenses</t>
  </si>
  <si>
    <t xml:space="preserve">   Total 5300 Policy &amp; Legislation</t>
  </si>
  <si>
    <t xml:space="preserve">   5400 Professional Development</t>
  </si>
  <si>
    <t xml:space="preserve">      5402 Statewide Webinars/Workshops</t>
  </si>
  <si>
    <t xml:space="preserve">      5410 CM Maintenance and Distant Educator</t>
  </si>
  <si>
    <t xml:space="preserve">   Total 5400 Professional Development</t>
  </si>
  <si>
    <t xml:space="preserve">   5500 Public Information Expense</t>
  </si>
  <si>
    <t xml:space="preserve">      5510 Advertising &amp; Directory Maintenance</t>
  </si>
  <si>
    <t xml:space="preserve">      5516 Newsletter</t>
  </si>
  <si>
    <t xml:space="preserve">      5520 Website &amp; Social Media</t>
  </si>
  <si>
    <t xml:space="preserve">      5540 Website Hosting/Support</t>
  </si>
  <si>
    <t xml:space="preserve">   Total 5500 Public Information Expense</t>
  </si>
  <si>
    <t xml:space="preserve">   5600 Administrative</t>
  </si>
  <si>
    <t xml:space="preserve">      5612 Awards Contractor</t>
  </si>
  <si>
    <t xml:space="preserve">      5620 Bookkeeping/Accounting/Tax Services</t>
  </si>
  <si>
    <t xml:space="preserve">      5645 Annual Report</t>
  </si>
  <si>
    <t xml:space="preserve">      5650 QBO Fee + Section Access</t>
  </si>
  <si>
    <t xml:space="preserve">   Total 5600 Administrative</t>
  </si>
  <si>
    <t xml:space="preserve">   5700 Section Subventions</t>
  </si>
  <si>
    <t xml:space="preserve">      5705 Section Dues Rebates</t>
  </si>
  <si>
    <t xml:space="preserve">   Total 5700 Section Subventions</t>
  </si>
  <si>
    <t xml:space="preserve">   5800 VP Diversity &amp; Equity</t>
  </si>
  <si>
    <t xml:space="preserve">      6310 VP Diversity &amp; Equity</t>
  </si>
  <si>
    <t xml:space="preserve">   Total 5800 VP Diversity &amp; Equity</t>
  </si>
  <si>
    <t xml:space="preserve">   6300 Marketing &amp; Membership</t>
  </si>
  <si>
    <t xml:space="preserve">      6307 Membership Management Contractor</t>
  </si>
  <si>
    <t xml:space="preserve">      6335 Membership Programs</t>
  </si>
  <si>
    <t xml:space="preserve">   Total 6300 Marketing &amp; Membership</t>
  </si>
  <si>
    <t>Total Expenses</t>
  </si>
  <si>
    <t>Net Operating Income</t>
  </si>
  <si>
    <t>Net Income</t>
  </si>
  <si>
    <t>Thursday, Dec 02, 2021 06:16:40 PM GMT-8 - Cash Basis</t>
  </si>
  <si>
    <t>American Planning Assoc. California Chapter</t>
  </si>
  <si>
    <t>Profit and Loss</t>
  </si>
  <si>
    <t>November 2021</t>
  </si>
  <si>
    <t>Thursday, Dec 02, 2021 06:18:03 PM GMT-8 - Cash Basis</t>
  </si>
  <si>
    <t xml:space="preserve">   Payroll Wage Expenses (deleted)</t>
  </si>
  <si>
    <t xml:space="preserve">   Payroll Tax Expenses (deleted)</t>
  </si>
  <si>
    <t xml:space="preserve">      6305 VP Marketing &amp; Membership</t>
  </si>
  <si>
    <t xml:space="preserve">   Total 6200 Conferences</t>
  </si>
  <si>
    <t xml:space="preserve">      6205 VP Conference Expense</t>
  </si>
  <si>
    <t xml:space="preserve">   6200 Conferences</t>
  </si>
  <si>
    <t xml:space="preserve">   6100 Commission &amp; Board Rep</t>
  </si>
  <si>
    <t xml:space="preserve">   Total 5900 Other Expenses</t>
  </si>
  <si>
    <t xml:space="preserve">      6325 University Liaison</t>
  </si>
  <si>
    <t xml:space="preserve">      5925 PEN Expense</t>
  </si>
  <si>
    <t xml:space="preserve">      5915 CSUN Archives</t>
  </si>
  <si>
    <t xml:space="preserve">      5905 Chapter Historian</t>
  </si>
  <si>
    <t xml:space="preserve">   5900 Other Expenses</t>
  </si>
  <si>
    <t xml:space="preserve">      5725 Section Chapter-Only Rebate</t>
  </si>
  <si>
    <t xml:space="preserve">      5715 Section State Conference Rebate</t>
  </si>
  <si>
    <t xml:space="preserve">      5706 CM Fees</t>
  </si>
  <si>
    <t xml:space="preserve">      5630 UBIT Tax-Unrelated Business Inc</t>
  </si>
  <si>
    <t xml:space="preserve">      5610 Awards</t>
  </si>
  <si>
    <t xml:space="preserve">      5555 Other Public Information</t>
  </si>
  <si>
    <t xml:space="preserve">      5545 Website Redesign</t>
  </si>
  <si>
    <t xml:space="preserve">      5521 News Production - Proofreader</t>
  </si>
  <si>
    <t xml:space="preserve">      5505 V.P. for Public Information Exp</t>
  </si>
  <si>
    <t xml:space="preserve">      5422 Young &amp; Emerging Planners Coord &amp; Ed</t>
  </si>
  <si>
    <t xml:space="preserve">      5420 FAICP and AICP Honors</t>
  </si>
  <si>
    <t xml:space="preserve">      5417 AICP Exam Chapter Scholar</t>
  </si>
  <si>
    <t xml:space="preserve">      5415 AICP Exam Training/Preparation</t>
  </si>
  <si>
    <t xml:space="preserve">      5320 National Legislative Rep.</t>
  </si>
  <si>
    <t xml:space="preserve">      5315 VP Policy &amp; Legislation/Review</t>
  </si>
  <si>
    <t xml:space="preserve">      5310 FPPC Quarterly Filing Fees</t>
  </si>
  <si>
    <t xml:space="preserve">   Total 5200 President Expense</t>
  </si>
  <si>
    <t xml:space="preserve">      5230 Student Representative</t>
  </si>
  <si>
    <t xml:space="preserve">      5220 President-Elect/Past President</t>
  </si>
  <si>
    <t xml:space="preserve">      5205 President Expenses</t>
  </si>
  <si>
    <t xml:space="preserve">   5200 President Expense</t>
  </si>
  <si>
    <t xml:space="preserve">      5125 Board Retreat</t>
  </si>
  <si>
    <t xml:space="preserve">      5120 Insurance Expense</t>
  </si>
  <si>
    <t xml:space="preserve">      5115 Board Meetings</t>
  </si>
  <si>
    <t xml:space="preserve">      5108 Section Management</t>
  </si>
  <si>
    <t xml:space="preserve">   4700 Annual Chapter Sponsorships</t>
  </si>
  <si>
    <t xml:space="preserve">   Total 4400 Professional Development Income</t>
  </si>
  <si>
    <t xml:space="preserve">      4410 Webcast/Workshop Income</t>
  </si>
  <si>
    <t xml:space="preserve">   4400 Professional Development Income</t>
  </si>
  <si>
    <t xml:space="preserve">   4300 Miscellaneous Income</t>
  </si>
  <si>
    <t xml:space="preserve">   4250 Billable Expense Income</t>
  </si>
  <si>
    <t xml:space="preserve">   Total 4200 Administrative Income</t>
  </si>
  <si>
    <t xml:space="preserve">      4206 Insurance Income</t>
  </si>
  <si>
    <t xml:space="preserve">      4205 Extra Award Income</t>
  </si>
  <si>
    <t xml:space="preserve">   4200 Administrative Income</t>
  </si>
  <si>
    <t xml:space="preserve">      4126 Conference Profit 2020</t>
  </si>
  <si>
    <t xml:space="preserve">      4115 Dues - National Subvention</t>
  </si>
  <si>
    <t>% of Budget</t>
  </si>
  <si>
    <t>over Budget</t>
  </si>
  <si>
    <t>Budget</t>
  </si>
  <si>
    <t>Actual</t>
  </si>
  <si>
    <t>Chapter</t>
  </si>
  <si>
    <t>January - December 2021</t>
  </si>
  <si>
    <t>Budget vs. Actuals: 2021 Chapter Budget - FY21 P&amp;L  Classes</t>
  </si>
  <si>
    <t>Thursday, Dec 02, 2021 06:31:40 PM GMT-8</t>
  </si>
  <si>
    <t>TOTAL LIABILITIES AND EQUITY</t>
  </si>
  <si>
    <t xml:space="preserve">   Total Equity</t>
  </si>
  <si>
    <t xml:space="preserve">      Net Income</t>
  </si>
  <si>
    <t xml:space="preserve">      3900 Unrestricted Net Assets</t>
  </si>
  <si>
    <t xml:space="preserve">      3200 Retained Earnings Conference</t>
  </si>
  <si>
    <t xml:space="preserve">      3100 Retained Earnings Sections</t>
  </si>
  <si>
    <t xml:space="preserve">      3000 Retained Earnings</t>
  </si>
  <si>
    <t xml:space="preserve">   Equity</t>
  </si>
  <si>
    <t xml:space="preserve">   Total Liabilities</t>
  </si>
  <si>
    <t xml:space="preserve">      Total Current Liabilities</t>
  </si>
  <si>
    <t xml:space="preserve">         Total Other Current Liabilities</t>
  </si>
  <si>
    <t xml:space="preserve">            Grants - Liabilities</t>
  </si>
  <si>
    <t xml:space="preserve">            2500 Inter-Fund Tranfers</t>
  </si>
  <si>
    <t xml:space="preserve">         Other Current Liabilities</t>
  </si>
  <si>
    <t xml:space="preserve">         Total Credit Cards</t>
  </si>
  <si>
    <t xml:space="preserve">            8508 BofA Credit Card [Chapter]</t>
  </si>
  <si>
    <t xml:space="preserve">            1049 B of A Credit Card Los Angeles</t>
  </si>
  <si>
    <t xml:space="preserve">            1036 B of A Credit Card CENTRAL</t>
  </si>
  <si>
    <t xml:space="preserve">         Credit Cards</t>
  </si>
  <si>
    <t xml:space="preserve">         Total Accounts Payable</t>
  </si>
  <si>
    <t xml:space="preserve">            2000 Accounts Payable</t>
  </si>
  <si>
    <t xml:space="preserve">         Accounts Payable</t>
  </si>
  <si>
    <t xml:space="preserve">      Current Liabilities</t>
  </si>
  <si>
    <t xml:space="preserve">   Liabilities</t>
  </si>
  <si>
    <t>LIABILITIES AND EQUITY</t>
  </si>
  <si>
    <t>TOTAL ASSETS</t>
  </si>
  <si>
    <t xml:space="preserve">   Total Current Assets</t>
  </si>
  <si>
    <t xml:space="preserve">      Total Other Current Assets</t>
  </si>
  <si>
    <t xml:space="preserve">         12000 Undeposited Funds</t>
  </si>
  <si>
    <t xml:space="preserve">      Other Current Assets</t>
  </si>
  <si>
    <t xml:space="preserve">      Total Bank Accounts</t>
  </si>
  <si>
    <t xml:space="preserve">         1059 Janus Account Orange</t>
  </si>
  <si>
    <t xml:space="preserve">         1058 Citibank Checking - ORANGE</t>
  </si>
  <si>
    <t xml:space="preserve">         1057 Chase Scholarship - ORANGE</t>
  </si>
  <si>
    <t xml:space="preserve">         1056 Chase Checking - ORANGE</t>
  </si>
  <si>
    <t xml:space="preserve">         1054 Chase Savings - ORANGE</t>
  </si>
  <si>
    <t xml:space="preserve">         1052 Wells Fargo Svgs - Northern</t>
  </si>
  <si>
    <t xml:space="preserve">         1051 Wells Fargo Ckg - Northern</t>
  </si>
  <si>
    <t xml:space="preserve">         1048 Los Angeles - Savings (new)</t>
  </si>
  <si>
    <t xml:space="preserve">         1047 Los Angeles - Savings</t>
  </si>
  <si>
    <t xml:space="preserve">         1046 Los Angeles - Checking</t>
  </si>
  <si>
    <t xml:space="preserve">         1035 B of A Savings CENTRAL</t>
  </si>
  <si>
    <t xml:space="preserve">         1034 B of A Checking - CENTRAL</t>
  </si>
  <si>
    <t xml:space="preserve">         1031 Wells Fargo Brokerage - Central Coast</t>
  </si>
  <si>
    <t xml:space="preserve">         1030 WFB Checking - Central Coast</t>
  </si>
  <si>
    <t xml:space="preserve">         1028 Inland Empire Union Bank Ckg</t>
  </si>
  <si>
    <t xml:space="preserve">         1027 San Diego CCu Cert #39</t>
  </si>
  <si>
    <t xml:space="preserve">         1026 San Diego CCU Cert #38</t>
  </si>
  <si>
    <t xml:space="preserve">         1025 San Diego CCU Cert #36</t>
  </si>
  <si>
    <t xml:space="preserve">         1024 San Diego CCU MM#01</t>
  </si>
  <si>
    <t xml:space="preserve">         1023 San Diego CCU Sav #00</t>
  </si>
  <si>
    <t xml:space="preserve">         1022 San Diego CCU Ckg #96</t>
  </si>
  <si>
    <t xml:space="preserve">         1014 B of A - Conference (#1444)</t>
  </si>
  <si>
    <t xml:space="preserve">         1010 Bank of America - Chapter</t>
  </si>
  <si>
    <t xml:space="preserve">         1007 Capital One 360 - Sac Valley</t>
  </si>
  <si>
    <t xml:space="preserve">         1006 River City Bank - Sac Valley</t>
  </si>
  <si>
    <t xml:space="preserve">         1000 American Funds - Class A</t>
  </si>
  <si>
    <t xml:space="preserve">      Bank Accounts</t>
  </si>
  <si>
    <t xml:space="preserve">   Current Assets</t>
  </si>
  <si>
    <t>ASSETS</t>
  </si>
  <si>
    <t>As of November 30, 2021</t>
  </si>
  <si>
    <t>Balance Sheet</t>
  </si>
  <si>
    <t>As of December 1, 2021</t>
  </si>
  <si>
    <t>OVERAGES FOR BOARD APPROVAL AND EXPLANATION</t>
  </si>
  <si>
    <t>Due to increased expenses for National membership for Sande and Lauren and addition of Google Suite fees and other items</t>
  </si>
  <si>
    <t>Due to increased number of FAICP applications $95 for 12 applicants</t>
  </si>
  <si>
    <t>Increase due to awards video production</t>
  </si>
  <si>
    <t>Moved Digital Gear Hosting from LI 5540 here</t>
  </si>
  <si>
    <t>Added Zoom, Remo and MemberClicks to this line item which increased the total above original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</si>
</sst>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11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000000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10" fontId="2" fillId="0" borderId="3" xfId="0" applyNumberFormat="1" applyFont="1" applyBorder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4" fontId="6" fillId="0" borderId="0" xfId="1" applyNumberFormat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7" fillId="2" borderId="0" xfId="0" applyFont="1" applyFill="1"/>
    <xf numFmtId="0" fontId="8" fillId="0" borderId="0" xfId="0" applyFont="1"/>
    <xf numFmtId="0" fontId="8" fillId="2" borderId="0" xfId="0" applyFont="1" applyFill="1"/>
    <xf numFmtId="0" fontId="0" fillId="2" borderId="0" xfId="0" applyFill="1"/>
    <xf numFmtId="0" fontId="9" fillId="2" borderId="0" xfId="0" applyFont="1" applyFill="1"/>
    <xf numFmtId="10" fontId="2" fillId="2" borderId="0" xfId="0" applyNumberFormat="1" applyFont="1" applyFill="1" applyAlignment="1">
      <alignment horizontal="right" wrapText="1"/>
    </xf>
    <xf numFmtId="0" fontId="10" fillId="2" borderId="0" xfId="0" applyFont="1" applyFill="1"/>
    <xf numFmtId="10" fontId="2" fillId="3" borderId="0" xfId="0" applyNumberFormat="1" applyFont="1" applyFill="1" applyAlignment="1">
      <alignment horizontal="right" wrapText="1"/>
    </xf>
    <xf numFmtId="0" fontId="9" fillId="3" borderId="0" xfId="0" applyFont="1" applyFill="1"/>
    <xf numFmtId="0" fontId="0" fillId="2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file:///C:/Users/laura/Downloads/awards.xlsx" TargetMode="External"/><Relationship Id="rId2" Type="http://schemas.openxmlformats.org/officeDocument/2006/relationships/hyperlink" Target="file:///C:/Users/laura/Downloads/Web.xlsx" TargetMode="External"/><Relationship Id="rId1" Type="http://schemas.openxmlformats.org/officeDocument/2006/relationships/hyperlink" Target="file:///C:/Users/laura/Downloads/Misc.xlsx" TargetMode="External"/><Relationship Id="rId5" Type="http://schemas.openxmlformats.org/officeDocument/2006/relationships/hyperlink" Target="file:///C:/Users/laura/Downloads/Member.xlsx" TargetMode="External"/><Relationship Id="rId4" Type="http://schemas.openxmlformats.org/officeDocument/2006/relationships/hyperlink" Target="file:///C:/Users/laura/Downloads/Du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workbookViewId="0">
      <selection activeCell="C2" sqref="C2"/>
    </sheetView>
  </sheetViews>
  <sheetFormatPr baseColWidth="10" defaultColWidth="8.83203125" defaultRowHeight="15" x14ac:dyDescent="0.2"/>
  <cols>
    <col min="1" max="1" width="40.5" customWidth="1"/>
    <col min="2" max="2" width="37.83203125" customWidth="1"/>
  </cols>
  <sheetData>
    <row r="1" spans="1:5" ht="18" x14ac:dyDescent="0.2">
      <c r="A1" s="13" t="s">
        <v>52</v>
      </c>
      <c r="B1" s="12"/>
    </row>
    <row r="2" spans="1:5" ht="18" x14ac:dyDescent="0.2">
      <c r="A2" s="13" t="s">
        <v>53</v>
      </c>
      <c r="B2" s="12"/>
      <c r="C2" s="17"/>
      <c r="D2" s="17"/>
      <c r="E2" s="17"/>
    </row>
    <row r="3" spans="1:5" x14ac:dyDescent="0.2">
      <c r="A3" s="14" t="s">
        <v>54</v>
      </c>
      <c r="B3" s="12"/>
    </row>
    <row r="5" spans="1:5" x14ac:dyDescent="0.2">
      <c r="A5" s="1"/>
      <c r="B5" s="2" t="s">
        <v>0</v>
      </c>
    </row>
    <row r="6" spans="1:5" x14ac:dyDescent="0.2">
      <c r="A6" s="3" t="s">
        <v>1</v>
      </c>
      <c r="B6" s="4"/>
    </row>
    <row r="7" spans="1:5" x14ac:dyDescent="0.2">
      <c r="A7" s="3" t="s">
        <v>2</v>
      </c>
      <c r="B7" s="4"/>
    </row>
    <row r="8" spans="1:5" x14ac:dyDescent="0.2">
      <c r="A8" s="3" t="s">
        <v>3</v>
      </c>
      <c r="B8" s="5">
        <f>2625</f>
        <v>2625</v>
      </c>
    </row>
    <row r="9" spans="1:5" x14ac:dyDescent="0.2">
      <c r="A9" s="3" t="s">
        <v>4</v>
      </c>
      <c r="B9" s="5">
        <f>86844.71</f>
        <v>86844.71</v>
      </c>
    </row>
    <row r="10" spans="1:5" x14ac:dyDescent="0.2">
      <c r="A10" s="3" t="s">
        <v>5</v>
      </c>
      <c r="B10" s="6">
        <f>((B7)+(B8))+(B9)</f>
        <v>89469.71</v>
      </c>
    </row>
    <row r="11" spans="1:5" x14ac:dyDescent="0.2">
      <c r="A11" s="3" t="s">
        <v>6</v>
      </c>
      <c r="B11" s="4"/>
    </row>
    <row r="12" spans="1:5" x14ac:dyDescent="0.2">
      <c r="A12" s="3" t="s">
        <v>7</v>
      </c>
      <c r="B12" s="5">
        <f>4830</f>
        <v>4830</v>
      </c>
    </row>
    <row r="13" spans="1:5" x14ac:dyDescent="0.2">
      <c r="A13" s="3" t="s">
        <v>8</v>
      </c>
      <c r="B13" s="6">
        <f>(B11)+(B12)</f>
        <v>4830</v>
      </c>
    </row>
    <row r="14" spans="1:5" x14ac:dyDescent="0.2">
      <c r="A14" s="3" t="s">
        <v>9</v>
      </c>
      <c r="B14" s="6">
        <f>(B10)+(B13)</f>
        <v>94299.71</v>
      </c>
    </row>
    <row r="15" spans="1:5" x14ac:dyDescent="0.2">
      <c r="A15" s="3" t="s">
        <v>10</v>
      </c>
      <c r="B15" s="6">
        <f>(B14)-(0)</f>
        <v>94299.71</v>
      </c>
    </row>
    <row r="16" spans="1:5" x14ac:dyDescent="0.2">
      <c r="A16" s="3" t="s">
        <v>11</v>
      </c>
      <c r="B16" s="4"/>
    </row>
    <row r="17" spans="1:2" x14ac:dyDescent="0.2">
      <c r="A17" s="3" t="s">
        <v>12</v>
      </c>
      <c r="B17" s="4"/>
    </row>
    <row r="18" spans="1:2" x14ac:dyDescent="0.2">
      <c r="A18" s="3" t="s">
        <v>13</v>
      </c>
      <c r="B18" s="5">
        <f>5500</f>
        <v>5500</v>
      </c>
    </row>
    <row r="19" spans="1:2" x14ac:dyDescent="0.2">
      <c r="A19" s="3" t="s">
        <v>14</v>
      </c>
      <c r="B19" s="5">
        <f>667.49</f>
        <v>667.49</v>
      </c>
    </row>
    <row r="20" spans="1:2" x14ac:dyDescent="0.2">
      <c r="A20" s="3" t="s">
        <v>15</v>
      </c>
      <c r="B20" s="5">
        <f>65.85</f>
        <v>65.849999999999994</v>
      </c>
    </row>
    <row r="21" spans="1:2" x14ac:dyDescent="0.2">
      <c r="A21" s="3" t="s">
        <v>16</v>
      </c>
      <c r="B21" s="5">
        <f>1125</f>
        <v>1125</v>
      </c>
    </row>
    <row r="22" spans="1:2" x14ac:dyDescent="0.2">
      <c r="A22" s="3" t="s">
        <v>17</v>
      </c>
      <c r="B22" s="5">
        <f>333.32</f>
        <v>333.32</v>
      </c>
    </row>
    <row r="23" spans="1:2" x14ac:dyDescent="0.2">
      <c r="A23" s="3" t="s">
        <v>18</v>
      </c>
      <c r="B23" s="6">
        <f>(((((B17)+(B18))+(B19))+(B20))+(B21))+(B22)</f>
        <v>7691.66</v>
      </c>
    </row>
    <row r="24" spans="1:2" x14ac:dyDescent="0.2">
      <c r="A24" s="3" t="s">
        <v>19</v>
      </c>
      <c r="B24" s="4"/>
    </row>
    <row r="25" spans="1:2" x14ac:dyDescent="0.2">
      <c r="A25" s="3" t="s">
        <v>20</v>
      </c>
      <c r="B25" s="5">
        <f>8000</f>
        <v>8000</v>
      </c>
    </row>
    <row r="26" spans="1:2" x14ac:dyDescent="0.2">
      <c r="A26" s="3" t="s">
        <v>21</v>
      </c>
      <c r="B26" s="6">
        <f>(B24)+(B25)</f>
        <v>8000</v>
      </c>
    </row>
    <row r="27" spans="1:2" x14ac:dyDescent="0.2">
      <c r="A27" s="3" t="s">
        <v>22</v>
      </c>
      <c r="B27" s="4"/>
    </row>
    <row r="28" spans="1:2" x14ac:dyDescent="0.2">
      <c r="A28" s="3" t="s">
        <v>23</v>
      </c>
      <c r="B28" s="5">
        <f>83.34</f>
        <v>83.34</v>
      </c>
    </row>
    <row r="29" spans="1:2" x14ac:dyDescent="0.2">
      <c r="A29" s="3" t="s">
        <v>24</v>
      </c>
      <c r="B29" s="5">
        <f>1791.66</f>
        <v>1791.66</v>
      </c>
    </row>
    <row r="30" spans="1:2" x14ac:dyDescent="0.2">
      <c r="A30" s="3" t="s">
        <v>25</v>
      </c>
      <c r="B30" s="6">
        <f>((B27)+(B28))+(B29)</f>
        <v>1875</v>
      </c>
    </row>
    <row r="31" spans="1:2" x14ac:dyDescent="0.2">
      <c r="A31" s="3" t="s">
        <v>26</v>
      </c>
      <c r="B31" s="4"/>
    </row>
    <row r="32" spans="1:2" x14ac:dyDescent="0.2">
      <c r="A32" s="3" t="s">
        <v>27</v>
      </c>
      <c r="B32" s="5">
        <f>625</f>
        <v>625</v>
      </c>
    </row>
    <row r="33" spans="1:2" x14ac:dyDescent="0.2">
      <c r="A33" s="3" t="s">
        <v>28</v>
      </c>
      <c r="B33" s="5">
        <f>3643.15</f>
        <v>3643.15</v>
      </c>
    </row>
    <row r="34" spans="1:2" x14ac:dyDescent="0.2">
      <c r="A34" s="3" t="s">
        <v>29</v>
      </c>
      <c r="B34" s="5">
        <f>2670.84</f>
        <v>2670.84</v>
      </c>
    </row>
    <row r="35" spans="1:2" x14ac:dyDescent="0.2">
      <c r="A35" s="3" t="s">
        <v>30</v>
      </c>
      <c r="B35" s="5">
        <f>160</f>
        <v>160</v>
      </c>
    </row>
    <row r="36" spans="1:2" x14ac:dyDescent="0.2">
      <c r="A36" s="3" t="s">
        <v>31</v>
      </c>
      <c r="B36" s="6">
        <f>((((B31)+(B32))+(B33))+(B34))+(B35)</f>
        <v>7098.99</v>
      </c>
    </row>
    <row r="37" spans="1:2" x14ac:dyDescent="0.2">
      <c r="A37" s="3" t="s">
        <v>32</v>
      </c>
      <c r="B37" s="4"/>
    </row>
    <row r="38" spans="1:2" x14ac:dyDescent="0.2">
      <c r="A38" s="3" t="s">
        <v>33</v>
      </c>
      <c r="B38" s="5">
        <f>200</f>
        <v>200</v>
      </c>
    </row>
    <row r="39" spans="1:2" x14ac:dyDescent="0.2">
      <c r="A39" s="3" t="s">
        <v>34</v>
      </c>
      <c r="B39" s="5">
        <f>1300</f>
        <v>1300</v>
      </c>
    </row>
    <row r="40" spans="1:2" x14ac:dyDescent="0.2">
      <c r="A40" s="3" t="s">
        <v>35</v>
      </c>
      <c r="B40" s="5">
        <f>500</f>
        <v>500</v>
      </c>
    </row>
    <row r="41" spans="1:2" x14ac:dyDescent="0.2">
      <c r="A41" s="3" t="s">
        <v>36</v>
      </c>
      <c r="B41" s="5">
        <f>35</f>
        <v>35</v>
      </c>
    </row>
    <row r="42" spans="1:2" x14ac:dyDescent="0.2">
      <c r="A42" s="3" t="s">
        <v>37</v>
      </c>
      <c r="B42" s="6">
        <f>((((B37)+(B38))+(B39))+(B40))+(B41)</f>
        <v>2035</v>
      </c>
    </row>
    <row r="43" spans="1:2" x14ac:dyDescent="0.2">
      <c r="A43" s="3" t="s">
        <v>38</v>
      </c>
      <c r="B43" s="4"/>
    </row>
    <row r="44" spans="1:2" x14ac:dyDescent="0.2">
      <c r="A44" s="3" t="s">
        <v>39</v>
      </c>
      <c r="B44" s="5">
        <f>14788.82</f>
        <v>14788.82</v>
      </c>
    </row>
    <row r="45" spans="1:2" x14ac:dyDescent="0.2">
      <c r="A45" s="3" t="s">
        <v>40</v>
      </c>
      <c r="B45" s="6">
        <f>(B43)+(B44)</f>
        <v>14788.82</v>
      </c>
    </row>
    <row r="46" spans="1:2" x14ac:dyDescent="0.2">
      <c r="A46" s="3" t="s">
        <v>41</v>
      </c>
      <c r="B46" s="4"/>
    </row>
    <row r="47" spans="1:2" x14ac:dyDescent="0.2">
      <c r="A47" s="3" t="s">
        <v>42</v>
      </c>
      <c r="B47" s="5">
        <f>400</f>
        <v>400</v>
      </c>
    </row>
    <row r="48" spans="1:2" x14ac:dyDescent="0.2">
      <c r="A48" s="3" t="s">
        <v>43</v>
      </c>
      <c r="B48" s="6">
        <f>(B46)+(B47)</f>
        <v>400</v>
      </c>
    </row>
    <row r="49" spans="1:2" x14ac:dyDescent="0.2">
      <c r="A49" s="3" t="s">
        <v>44</v>
      </c>
      <c r="B49" s="4"/>
    </row>
    <row r="50" spans="1:2" x14ac:dyDescent="0.2">
      <c r="A50" s="3" t="s">
        <v>45</v>
      </c>
      <c r="B50" s="5">
        <f>1041.66</f>
        <v>1041.6600000000001</v>
      </c>
    </row>
    <row r="51" spans="1:2" x14ac:dyDescent="0.2">
      <c r="A51" s="3" t="s">
        <v>46</v>
      </c>
      <c r="B51" s="5">
        <f>18042.5</f>
        <v>18042.5</v>
      </c>
    </row>
    <row r="52" spans="1:2" x14ac:dyDescent="0.2">
      <c r="A52" s="3" t="s">
        <v>47</v>
      </c>
      <c r="B52" s="6">
        <f>((B49)+(B50))+(B51)</f>
        <v>19084.16</v>
      </c>
    </row>
    <row r="53" spans="1:2" x14ac:dyDescent="0.2">
      <c r="A53" s="3" t="s">
        <v>48</v>
      </c>
      <c r="B53" s="6">
        <f>(((((((B23)+(B26))+(B30))+(B36))+(B42))+(B45))+(B48))+(B52)</f>
        <v>60973.630000000005</v>
      </c>
    </row>
    <row r="54" spans="1:2" x14ac:dyDescent="0.2">
      <c r="A54" s="3" t="s">
        <v>49</v>
      </c>
      <c r="B54" s="6">
        <f>(B15)-(B53)</f>
        <v>33326.080000000002</v>
      </c>
    </row>
    <row r="55" spans="1:2" x14ac:dyDescent="0.2">
      <c r="A55" s="3" t="s">
        <v>50</v>
      </c>
      <c r="B55" s="7">
        <f>(B54)+(0)</f>
        <v>33326.080000000002</v>
      </c>
    </row>
    <row r="56" spans="1:2" x14ac:dyDescent="0.2">
      <c r="A56" s="3"/>
      <c r="B56" s="4"/>
    </row>
    <row r="59" spans="1:2" x14ac:dyDescent="0.2">
      <c r="A59" s="11" t="s">
        <v>51</v>
      </c>
      <c r="B59" s="12"/>
    </row>
  </sheetData>
  <mergeCells count="4">
    <mergeCell ref="A59:B59"/>
    <mergeCell ref="A1:B1"/>
    <mergeCell ref="A2:B2"/>
    <mergeCell ref="A3:B3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E84FC-CA26-40BA-A566-C8475B14BB8D}">
  <dimension ref="A1:P110"/>
  <sheetViews>
    <sheetView tabSelected="1" topLeftCell="A88" zoomScale="156" zoomScaleNormal="156" workbookViewId="0">
      <selection activeCell="F101" sqref="F101"/>
    </sheetView>
  </sheetViews>
  <sheetFormatPr baseColWidth="10" defaultColWidth="8.83203125" defaultRowHeight="15" x14ac:dyDescent="0.2"/>
  <cols>
    <col min="1" max="1" width="33.33203125" customWidth="1"/>
    <col min="2" max="5" width="12" customWidth="1"/>
  </cols>
  <sheetData>
    <row r="1" spans="1:10" ht="18" x14ac:dyDescent="0.2">
      <c r="A1" s="13" t="s">
        <v>52</v>
      </c>
      <c r="B1" s="12"/>
      <c r="C1" s="12"/>
      <c r="D1" s="12"/>
      <c r="E1" s="12"/>
    </row>
    <row r="2" spans="1:10" ht="18" x14ac:dyDescent="0.2">
      <c r="A2" s="13" t="s">
        <v>112</v>
      </c>
      <c r="B2" s="12"/>
      <c r="C2" s="12"/>
      <c r="D2" s="12"/>
      <c r="E2" s="12"/>
    </row>
    <row r="3" spans="1:10" x14ac:dyDescent="0.2">
      <c r="A3" s="14" t="s">
        <v>111</v>
      </c>
      <c r="B3" s="12"/>
      <c r="C3" s="12"/>
      <c r="D3" s="12"/>
      <c r="E3" s="12"/>
    </row>
    <row r="4" spans="1:10" x14ac:dyDescent="0.2">
      <c r="F4" s="17" t="s">
        <v>177</v>
      </c>
      <c r="G4" s="17"/>
      <c r="H4" s="17"/>
      <c r="I4" s="17"/>
      <c r="J4" s="17"/>
    </row>
    <row r="5" spans="1:10" ht="16" x14ac:dyDescent="0.2">
      <c r="A5" s="1" t="s">
        <v>176</v>
      </c>
      <c r="B5" s="15" t="s">
        <v>110</v>
      </c>
      <c r="C5" s="16"/>
      <c r="D5" s="16"/>
      <c r="E5" s="16"/>
    </row>
    <row r="6" spans="1:10" x14ac:dyDescent="0.2">
      <c r="A6" s="1"/>
      <c r="B6" s="2" t="s">
        <v>109</v>
      </c>
      <c r="C6" s="2" t="s">
        <v>108</v>
      </c>
      <c r="D6" s="2" t="s">
        <v>107</v>
      </c>
      <c r="E6" s="2" t="s">
        <v>106</v>
      </c>
    </row>
    <row r="7" spans="1:10" x14ac:dyDescent="0.2">
      <c r="A7" s="3" t="s">
        <v>1</v>
      </c>
      <c r="B7" s="4"/>
      <c r="C7" s="4"/>
      <c r="D7" s="4"/>
      <c r="E7" s="4"/>
    </row>
    <row r="8" spans="1:10" x14ac:dyDescent="0.2">
      <c r="A8" s="3" t="s">
        <v>2</v>
      </c>
      <c r="B8" s="4"/>
      <c r="C8" s="4"/>
      <c r="D8" s="5">
        <f t="shared" ref="D8:D28" si="0">(B8)-(C8)</f>
        <v>0</v>
      </c>
      <c r="E8" s="9" t="str">
        <f t="shared" ref="E8:E28" si="1">IF(C8=0,"",(B8)/(C8))</f>
        <v/>
      </c>
    </row>
    <row r="9" spans="1:10" x14ac:dyDescent="0.2">
      <c r="A9" s="3" t="s">
        <v>105</v>
      </c>
      <c r="B9" s="5">
        <f>359966.9</f>
        <v>359966.9</v>
      </c>
      <c r="C9" s="5">
        <f>397000</f>
        <v>397000</v>
      </c>
      <c r="D9" s="5">
        <f t="shared" si="0"/>
        <v>-37033.099999999977</v>
      </c>
      <c r="E9" s="9">
        <f t="shared" si="1"/>
        <v>0.90671763224181368</v>
      </c>
    </row>
    <row r="10" spans="1:10" x14ac:dyDescent="0.2">
      <c r="A10" s="3" t="s">
        <v>3</v>
      </c>
      <c r="B10" s="5">
        <f>17025</f>
        <v>17025</v>
      </c>
      <c r="C10" s="5">
        <f>20750</f>
        <v>20750</v>
      </c>
      <c r="D10" s="5">
        <f t="shared" si="0"/>
        <v>-3725</v>
      </c>
      <c r="E10" s="9">
        <f t="shared" si="1"/>
        <v>0.82048192771084338</v>
      </c>
    </row>
    <row r="11" spans="1:10" x14ac:dyDescent="0.2">
      <c r="A11" s="3" t="s">
        <v>4</v>
      </c>
      <c r="B11" s="5">
        <f>86844.71</f>
        <v>86844.71</v>
      </c>
      <c r="C11" s="5">
        <f>100000</f>
        <v>100000</v>
      </c>
      <c r="D11" s="5">
        <f t="shared" si="0"/>
        <v>-13155.289999999994</v>
      </c>
      <c r="E11" s="9">
        <f t="shared" si="1"/>
        <v>0.86844710000000003</v>
      </c>
    </row>
    <row r="12" spans="1:10" x14ac:dyDescent="0.2">
      <c r="A12" s="3" t="s">
        <v>104</v>
      </c>
      <c r="B12" s="4"/>
      <c r="C12" s="5">
        <f>58503</f>
        <v>58503</v>
      </c>
      <c r="D12" s="5">
        <f t="shared" si="0"/>
        <v>-58503</v>
      </c>
      <c r="E12" s="9">
        <f t="shared" si="1"/>
        <v>0</v>
      </c>
    </row>
    <row r="13" spans="1:10" x14ac:dyDescent="0.2">
      <c r="A13" s="3" t="s">
        <v>5</v>
      </c>
      <c r="B13" s="7">
        <f>((((B8)+(B9))+(B10))+(B11))+(B12)</f>
        <v>463836.61000000004</v>
      </c>
      <c r="C13" s="7">
        <f>((((C8)+(C9))+(C10))+(C11))+(C12)</f>
        <v>576253</v>
      </c>
      <c r="D13" s="7">
        <f t="shared" si="0"/>
        <v>-112416.38999999996</v>
      </c>
      <c r="E13" s="8">
        <f t="shared" si="1"/>
        <v>0.80491834315830035</v>
      </c>
    </row>
    <row r="14" spans="1:10" x14ac:dyDescent="0.2">
      <c r="A14" s="3" t="s">
        <v>103</v>
      </c>
      <c r="B14" s="4"/>
      <c r="C14" s="4"/>
      <c r="D14" s="5">
        <f t="shared" si="0"/>
        <v>0</v>
      </c>
      <c r="E14" s="9" t="str">
        <f t="shared" si="1"/>
        <v/>
      </c>
    </row>
    <row r="15" spans="1:10" x14ac:dyDescent="0.2">
      <c r="A15" s="3" t="s">
        <v>102</v>
      </c>
      <c r="B15" s="5">
        <f>1275</f>
        <v>1275</v>
      </c>
      <c r="C15" s="5">
        <f>800</f>
        <v>800</v>
      </c>
      <c r="D15" s="5">
        <f t="shared" si="0"/>
        <v>475</v>
      </c>
      <c r="E15" s="9">
        <f t="shared" si="1"/>
        <v>1.59375</v>
      </c>
    </row>
    <row r="16" spans="1:10" x14ac:dyDescent="0.2">
      <c r="A16" s="3" t="s">
        <v>101</v>
      </c>
      <c r="B16" s="5">
        <f>6366.78</f>
        <v>6366.78</v>
      </c>
      <c r="C16" s="5">
        <f>3500</f>
        <v>3500</v>
      </c>
      <c r="D16" s="5">
        <f t="shared" si="0"/>
        <v>2866.7799999999997</v>
      </c>
      <c r="E16" s="9">
        <f t="shared" si="1"/>
        <v>1.81908</v>
      </c>
    </row>
    <row r="17" spans="1:5" x14ac:dyDescent="0.2">
      <c r="A17" s="3" t="s">
        <v>100</v>
      </c>
      <c r="B17" s="7">
        <f>((B14)+(B15))+(B16)</f>
        <v>7641.78</v>
      </c>
      <c r="C17" s="7">
        <f>((C14)+(C15))+(C16)</f>
        <v>4300</v>
      </c>
      <c r="D17" s="7">
        <f t="shared" si="0"/>
        <v>3341.7799999999997</v>
      </c>
      <c r="E17" s="8">
        <f t="shared" si="1"/>
        <v>1.7771581395348837</v>
      </c>
    </row>
    <row r="18" spans="1:5" x14ac:dyDescent="0.2">
      <c r="A18" s="3" t="s">
        <v>99</v>
      </c>
      <c r="B18" s="5">
        <f>13940</f>
        <v>13940</v>
      </c>
      <c r="C18" s="4"/>
      <c r="D18" s="5">
        <f t="shared" si="0"/>
        <v>13940</v>
      </c>
      <c r="E18" s="9" t="str">
        <f t="shared" si="1"/>
        <v/>
      </c>
    </row>
    <row r="19" spans="1:5" x14ac:dyDescent="0.2">
      <c r="A19" s="3" t="s">
        <v>98</v>
      </c>
      <c r="B19" s="5">
        <f>0</f>
        <v>0</v>
      </c>
      <c r="C19" s="4"/>
      <c r="D19" s="5">
        <f t="shared" si="0"/>
        <v>0</v>
      </c>
      <c r="E19" s="9" t="str">
        <f t="shared" si="1"/>
        <v/>
      </c>
    </row>
    <row r="20" spans="1:5" x14ac:dyDescent="0.2">
      <c r="A20" s="3" t="s">
        <v>97</v>
      </c>
      <c r="B20" s="4"/>
      <c r="C20" s="4"/>
      <c r="D20" s="5">
        <f t="shared" si="0"/>
        <v>0</v>
      </c>
      <c r="E20" s="9" t="str">
        <f t="shared" si="1"/>
        <v/>
      </c>
    </row>
    <row r="21" spans="1:5" x14ac:dyDescent="0.2">
      <c r="A21" s="3" t="s">
        <v>96</v>
      </c>
      <c r="B21" s="5">
        <f>12990.22</f>
        <v>12990.22</v>
      </c>
      <c r="C21" s="5">
        <f>19000</f>
        <v>19000</v>
      </c>
      <c r="D21" s="5">
        <f t="shared" si="0"/>
        <v>-6009.7800000000007</v>
      </c>
      <c r="E21" s="9">
        <f t="shared" si="1"/>
        <v>0.68369578947368415</v>
      </c>
    </row>
    <row r="22" spans="1:5" x14ac:dyDescent="0.2">
      <c r="A22" s="3" t="s">
        <v>95</v>
      </c>
      <c r="B22" s="7">
        <f>(B20)+(B21)</f>
        <v>12990.22</v>
      </c>
      <c r="C22" s="7">
        <f>(C20)+(C21)</f>
        <v>19000</v>
      </c>
      <c r="D22" s="7">
        <f t="shared" si="0"/>
        <v>-6009.7800000000007</v>
      </c>
      <c r="E22" s="8">
        <f t="shared" si="1"/>
        <v>0.68369578947368415</v>
      </c>
    </row>
    <row r="23" spans="1:5" x14ac:dyDescent="0.2">
      <c r="A23" s="3" t="s">
        <v>6</v>
      </c>
      <c r="B23" s="4"/>
      <c r="C23" s="4"/>
      <c r="D23" s="5">
        <f t="shared" si="0"/>
        <v>0</v>
      </c>
      <c r="E23" s="9" t="str">
        <f t="shared" si="1"/>
        <v/>
      </c>
    </row>
    <row r="24" spans="1:5" x14ac:dyDescent="0.2">
      <c r="A24" s="3" t="s">
        <v>7</v>
      </c>
      <c r="B24" s="5">
        <f>69140</f>
        <v>69140</v>
      </c>
      <c r="C24" s="5">
        <f>37000</f>
        <v>37000</v>
      </c>
      <c r="D24" s="5">
        <f t="shared" si="0"/>
        <v>32140</v>
      </c>
      <c r="E24" s="9">
        <f t="shared" si="1"/>
        <v>1.8686486486486487</v>
      </c>
    </row>
    <row r="25" spans="1:5" x14ac:dyDescent="0.2">
      <c r="A25" s="3" t="s">
        <v>8</v>
      </c>
      <c r="B25" s="7">
        <f>(B23)+(B24)</f>
        <v>69140</v>
      </c>
      <c r="C25" s="7">
        <f>(C23)+(C24)</f>
        <v>37000</v>
      </c>
      <c r="D25" s="7">
        <f t="shared" si="0"/>
        <v>32140</v>
      </c>
      <c r="E25" s="8">
        <f t="shared" si="1"/>
        <v>1.8686486486486487</v>
      </c>
    </row>
    <row r="26" spans="1:5" x14ac:dyDescent="0.2">
      <c r="A26" s="3" t="s">
        <v>94</v>
      </c>
      <c r="B26" s="4"/>
      <c r="C26" s="5">
        <f>3000</f>
        <v>3000</v>
      </c>
      <c r="D26" s="5">
        <f t="shared" si="0"/>
        <v>-3000</v>
      </c>
      <c r="E26" s="9">
        <f t="shared" si="1"/>
        <v>0</v>
      </c>
    </row>
    <row r="27" spans="1:5" x14ac:dyDescent="0.2">
      <c r="A27" s="3" t="s">
        <v>9</v>
      </c>
      <c r="B27" s="7">
        <f>((((((B13)+(B17))+(B18))+(B19))+(B22))+(B25))+(B26)</f>
        <v>567548.6100000001</v>
      </c>
      <c r="C27" s="7">
        <f>((((((C13)+(C17))+(C18))+(C19))+(C22))+(C25))+(C26)</f>
        <v>639553</v>
      </c>
      <c r="D27" s="7">
        <f t="shared" si="0"/>
        <v>-72004.389999999898</v>
      </c>
      <c r="E27" s="8">
        <f t="shared" si="1"/>
        <v>0.8874145066945196</v>
      </c>
    </row>
    <row r="28" spans="1:5" x14ac:dyDescent="0.2">
      <c r="A28" s="3" t="s">
        <v>10</v>
      </c>
      <c r="B28" s="7">
        <f>(B27)-(0)</f>
        <v>567548.6100000001</v>
      </c>
      <c r="C28" s="7">
        <f>(C27)-(0)</f>
        <v>639553</v>
      </c>
      <c r="D28" s="7">
        <f t="shared" si="0"/>
        <v>-72004.389999999898</v>
      </c>
      <c r="E28" s="8">
        <f t="shared" si="1"/>
        <v>0.8874145066945196</v>
      </c>
    </row>
    <row r="29" spans="1:5" x14ac:dyDescent="0.2">
      <c r="A29" s="3" t="s">
        <v>11</v>
      </c>
      <c r="B29" s="4"/>
      <c r="C29" s="4"/>
      <c r="D29" s="4"/>
      <c r="E29" s="4"/>
    </row>
    <row r="30" spans="1:5" x14ac:dyDescent="0.2">
      <c r="A30" s="3" t="s">
        <v>12</v>
      </c>
      <c r="B30" s="4"/>
      <c r="C30" s="4"/>
      <c r="D30" s="5">
        <f t="shared" ref="D30:D61" si="2">(B30)-(C30)</f>
        <v>0</v>
      </c>
      <c r="E30" s="9" t="str">
        <f t="shared" ref="E30:E61" si="3">IF(C30=0,"",(B30)/(C30))</f>
        <v/>
      </c>
    </row>
    <row r="31" spans="1:5" x14ac:dyDescent="0.2">
      <c r="A31" s="3" t="s">
        <v>13</v>
      </c>
      <c r="B31" s="5">
        <f>66000</f>
        <v>66000</v>
      </c>
      <c r="C31" s="5">
        <f>66000</f>
        <v>66000</v>
      </c>
      <c r="D31" s="5">
        <f t="shared" si="2"/>
        <v>0</v>
      </c>
      <c r="E31" s="9">
        <f t="shared" si="3"/>
        <v>1</v>
      </c>
    </row>
    <row r="32" spans="1:5" x14ac:dyDescent="0.2">
      <c r="A32" s="3" t="s">
        <v>93</v>
      </c>
      <c r="B32" s="5">
        <f>20000</f>
        <v>20000</v>
      </c>
      <c r="C32" s="5">
        <f>20000</f>
        <v>20000</v>
      </c>
      <c r="D32" s="5">
        <f t="shared" si="2"/>
        <v>0</v>
      </c>
      <c r="E32" s="9">
        <f t="shared" si="3"/>
        <v>1</v>
      </c>
    </row>
    <row r="33" spans="1:16" x14ac:dyDescent="0.2">
      <c r="A33" s="3" t="s">
        <v>14</v>
      </c>
      <c r="B33" s="10">
        <f>6454.48</f>
        <v>6454.48</v>
      </c>
      <c r="C33" s="5">
        <f>5200</f>
        <v>5200</v>
      </c>
      <c r="D33" s="5">
        <f t="shared" si="2"/>
        <v>1254.4799999999996</v>
      </c>
      <c r="E33" s="22">
        <f t="shared" si="3"/>
        <v>1.2412461538461537</v>
      </c>
      <c r="F33" s="21" t="s">
        <v>178</v>
      </c>
      <c r="G33" s="19"/>
      <c r="H33" s="19"/>
      <c r="I33" s="19"/>
      <c r="J33" s="19"/>
      <c r="K33" s="19"/>
      <c r="L33" s="19"/>
      <c r="M33" s="19"/>
      <c r="N33" s="19"/>
      <c r="O33" s="18"/>
      <c r="P33" s="18"/>
    </row>
    <row r="34" spans="1:16" x14ac:dyDescent="0.2">
      <c r="A34" s="3" t="s">
        <v>92</v>
      </c>
      <c r="B34" s="5">
        <f>1200</f>
        <v>1200</v>
      </c>
      <c r="C34" s="5">
        <f>10000</f>
        <v>10000</v>
      </c>
      <c r="D34" s="5">
        <f t="shared" si="2"/>
        <v>-8800</v>
      </c>
      <c r="E34" s="9">
        <f t="shared" si="3"/>
        <v>0.12</v>
      </c>
    </row>
    <row r="35" spans="1:16" x14ac:dyDescent="0.2">
      <c r="A35" s="3" t="s">
        <v>91</v>
      </c>
      <c r="B35" s="5">
        <f>1767</f>
        <v>1767</v>
      </c>
      <c r="C35" s="5">
        <f>4125</f>
        <v>4125</v>
      </c>
      <c r="D35" s="5">
        <f t="shared" si="2"/>
        <v>-2358</v>
      </c>
      <c r="E35" s="9">
        <f t="shared" si="3"/>
        <v>0.42836363636363639</v>
      </c>
    </row>
    <row r="36" spans="1:16" x14ac:dyDescent="0.2">
      <c r="A36" s="3" t="s">
        <v>90</v>
      </c>
      <c r="B36" s="5">
        <f>1025</f>
        <v>1025</v>
      </c>
      <c r="C36" s="5">
        <f>5000</f>
        <v>5000</v>
      </c>
      <c r="D36" s="5">
        <f t="shared" si="2"/>
        <v>-3975</v>
      </c>
      <c r="E36" s="9">
        <f t="shared" si="3"/>
        <v>0.20499999999999999</v>
      </c>
    </row>
    <row r="37" spans="1:16" x14ac:dyDescent="0.2">
      <c r="A37" s="3" t="s">
        <v>15</v>
      </c>
      <c r="B37" s="5">
        <f>3514.74</f>
        <v>3514.74</v>
      </c>
      <c r="C37" s="5">
        <f>4500</f>
        <v>4500</v>
      </c>
      <c r="D37" s="5">
        <f t="shared" si="2"/>
        <v>-985.26000000000022</v>
      </c>
      <c r="E37" s="9">
        <f t="shared" si="3"/>
        <v>0.78105333333333327</v>
      </c>
    </row>
    <row r="38" spans="1:16" x14ac:dyDescent="0.2">
      <c r="A38" s="3" t="s">
        <v>16</v>
      </c>
      <c r="B38" s="5">
        <f>13500</f>
        <v>13500</v>
      </c>
      <c r="C38" s="5">
        <f>13500</f>
        <v>13500</v>
      </c>
      <c r="D38" s="5">
        <f t="shared" si="2"/>
        <v>0</v>
      </c>
      <c r="E38" s="9">
        <f t="shared" si="3"/>
        <v>1</v>
      </c>
    </row>
    <row r="39" spans="1:16" x14ac:dyDescent="0.2">
      <c r="A39" s="3" t="s">
        <v>17</v>
      </c>
      <c r="B39" s="5">
        <f>3833.18</f>
        <v>3833.18</v>
      </c>
      <c r="C39" s="5">
        <f>4000</f>
        <v>4000</v>
      </c>
      <c r="D39" s="5">
        <f t="shared" si="2"/>
        <v>-166.82000000000016</v>
      </c>
      <c r="E39" s="9">
        <f t="shared" si="3"/>
        <v>0.95829500000000001</v>
      </c>
    </row>
    <row r="40" spans="1:16" x14ac:dyDescent="0.2">
      <c r="A40" s="3" t="s">
        <v>18</v>
      </c>
      <c r="B40" s="7">
        <f>(((((((((B30)+(B31))+(B32))+(B33))+(B34))+(B35))+(B36))+(B37))+(B38))+(B39)</f>
        <v>117294.39999999999</v>
      </c>
      <c r="C40" s="7">
        <f>(((((((((C30)+(C31))+(C32))+(C33))+(C34))+(C35))+(C36))+(C37))+(C38))+(C39)</f>
        <v>132325</v>
      </c>
      <c r="D40" s="7">
        <f t="shared" si="2"/>
        <v>-15030.600000000006</v>
      </c>
      <c r="E40" s="8">
        <f t="shared" si="3"/>
        <v>0.88641148686945015</v>
      </c>
    </row>
    <row r="41" spans="1:16" x14ac:dyDescent="0.2">
      <c r="A41" s="3" t="s">
        <v>89</v>
      </c>
      <c r="B41" s="4"/>
      <c r="C41" s="4"/>
      <c r="D41" s="5">
        <f t="shared" si="2"/>
        <v>0</v>
      </c>
      <c r="E41" s="9" t="str">
        <f t="shared" si="3"/>
        <v/>
      </c>
    </row>
    <row r="42" spans="1:16" x14ac:dyDescent="0.2">
      <c r="A42" s="3" t="s">
        <v>88</v>
      </c>
      <c r="B42" s="5">
        <f>10000</f>
        <v>10000</v>
      </c>
      <c r="C42" s="5">
        <f>25100</f>
        <v>25100</v>
      </c>
      <c r="D42" s="5">
        <f t="shared" si="2"/>
        <v>-15100</v>
      </c>
      <c r="E42" s="9">
        <f t="shared" si="3"/>
        <v>0.39840637450199201</v>
      </c>
    </row>
    <row r="43" spans="1:16" x14ac:dyDescent="0.2">
      <c r="A43" s="3" t="s">
        <v>87</v>
      </c>
      <c r="B43" s="4"/>
      <c r="C43" s="5">
        <f>100</f>
        <v>100</v>
      </c>
      <c r="D43" s="5">
        <f t="shared" si="2"/>
        <v>-100</v>
      </c>
      <c r="E43" s="9">
        <f t="shared" si="3"/>
        <v>0</v>
      </c>
    </row>
    <row r="44" spans="1:16" x14ac:dyDescent="0.2">
      <c r="A44" s="3" t="s">
        <v>86</v>
      </c>
      <c r="B44" s="4"/>
      <c r="C44" s="5">
        <f>100</f>
        <v>100</v>
      </c>
      <c r="D44" s="5">
        <f t="shared" si="2"/>
        <v>-100</v>
      </c>
      <c r="E44" s="9">
        <f t="shared" si="3"/>
        <v>0</v>
      </c>
    </row>
    <row r="45" spans="1:16" x14ac:dyDescent="0.2">
      <c r="A45" s="3" t="s">
        <v>85</v>
      </c>
      <c r="B45" s="7">
        <f>(((B41)+(B42))+(B43))+(B44)</f>
        <v>10000</v>
      </c>
      <c r="C45" s="7">
        <f>(((C41)+(C42))+(C43))+(C44)</f>
        <v>25300</v>
      </c>
      <c r="D45" s="7">
        <f t="shared" si="2"/>
        <v>-15300</v>
      </c>
      <c r="E45" s="8">
        <f t="shared" si="3"/>
        <v>0.39525691699604742</v>
      </c>
    </row>
    <row r="46" spans="1:16" x14ac:dyDescent="0.2">
      <c r="A46" s="3" t="s">
        <v>19</v>
      </c>
      <c r="B46" s="4"/>
      <c r="C46" s="4"/>
      <c r="D46" s="5">
        <f t="shared" si="2"/>
        <v>0</v>
      </c>
      <c r="E46" s="9" t="str">
        <f t="shared" si="3"/>
        <v/>
      </c>
    </row>
    <row r="47" spans="1:16" x14ac:dyDescent="0.2">
      <c r="A47" s="3" t="s">
        <v>20</v>
      </c>
      <c r="B47" s="5">
        <f>96000</f>
        <v>96000</v>
      </c>
      <c r="C47" s="5">
        <f>96000</f>
        <v>96000</v>
      </c>
      <c r="D47" s="5">
        <f t="shared" si="2"/>
        <v>0</v>
      </c>
      <c r="E47" s="9">
        <f t="shared" si="3"/>
        <v>1</v>
      </c>
    </row>
    <row r="48" spans="1:16" x14ac:dyDescent="0.2">
      <c r="A48" s="3" t="s">
        <v>84</v>
      </c>
      <c r="B48" s="5">
        <f>855.45</f>
        <v>855.45</v>
      </c>
      <c r="C48" s="5">
        <f>1200</f>
        <v>1200</v>
      </c>
      <c r="D48" s="5">
        <f t="shared" si="2"/>
        <v>-344.54999999999995</v>
      </c>
      <c r="E48" s="9">
        <f t="shared" si="3"/>
        <v>0.71287500000000004</v>
      </c>
    </row>
    <row r="49" spans="1:10" x14ac:dyDescent="0.2">
      <c r="A49" s="3" t="s">
        <v>83</v>
      </c>
      <c r="B49" s="4"/>
      <c r="C49" s="5">
        <f>100</f>
        <v>100</v>
      </c>
      <c r="D49" s="5">
        <f t="shared" si="2"/>
        <v>-100</v>
      </c>
      <c r="E49" s="9">
        <f t="shared" si="3"/>
        <v>0</v>
      </c>
    </row>
    <row r="50" spans="1:10" x14ac:dyDescent="0.2">
      <c r="A50" s="3" t="s">
        <v>82</v>
      </c>
      <c r="B50" s="4"/>
      <c r="C50" s="5">
        <f>100</f>
        <v>100</v>
      </c>
      <c r="D50" s="5">
        <f t="shared" si="2"/>
        <v>-100</v>
      </c>
      <c r="E50" s="9">
        <f t="shared" si="3"/>
        <v>0</v>
      </c>
    </row>
    <row r="51" spans="1:10" x14ac:dyDescent="0.2">
      <c r="A51" s="3" t="s">
        <v>21</v>
      </c>
      <c r="B51" s="7">
        <f>((((B46)+(B47))+(B48))+(B49))+(B50)</f>
        <v>96855.45</v>
      </c>
      <c r="C51" s="7">
        <f>((((C46)+(C47))+(C48))+(C49))+(C50)</f>
        <v>97400</v>
      </c>
      <c r="D51" s="7">
        <f t="shared" si="2"/>
        <v>-544.55000000000291</v>
      </c>
      <c r="E51" s="8">
        <f t="shared" si="3"/>
        <v>0.994409137577002</v>
      </c>
    </row>
    <row r="52" spans="1:10" x14ac:dyDescent="0.2">
      <c r="A52" s="3" t="s">
        <v>22</v>
      </c>
      <c r="B52" s="4"/>
      <c r="C52" s="4"/>
      <c r="D52" s="5">
        <f t="shared" si="2"/>
        <v>0</v>
      </c>
      <c r="E52" s="9" t="str">
        <f t="shared" si="3"/>
        <v/>
      </c>
    </row>
    <row r="53" spans="1:10" x14ac:dyDescent="0.2">
      <c r="A53" s="3" t="s">
        <v>23</v>
      </c>
      <c r="B53" s="5">
        <f>1648.07</f>
        <v>1648.07</v>
      </c>
      <c r="C53" s="5">
        <f>4000</f>
        <v>4000</v>
      </c>
      <c r="D53" s="5">
        <f t="shared" si="2"/>
        <v>-2351.9300000000003</v>
      </c>
      <c r="E53" s="9">
        <f t="shared" si="3"/>
        <v>0.41201749999999998</v>
      </c>
    </row>
    <row r="54" spans="1:10" x14ac:dyDescent="0.2">
      <c r="A54" s="3" t="s">
        <v>24</v>
      </c>
      <c r="B54" s="5">
        <f>20604.09</f>
        <v>20604.09</v>
      </c>
      <c r="C54" s="5">
        <f>21500</f>
        <v>21500</v>
      </c>
      <c r="D54" s="5">
        <f t="shared" si="2"/>
        <v>-895.90999999999985</v>
      </c>
      <c r="E54" s="9">
        <f t="shared" si="3"/>
        <v>0.95832976744186049</v>
      </c>
    </row>
    <row r="55" spans="1:10" x14ac:dyDescent="0.2">
      <c r="A55" s="3" t="s">
        <v>81</v>
      </c>
      <c r="B55" s="4"/>
      <c r="C55" s="5">
        <f>1000</f>
        <v>1000</v>
      </c>
      <c r="D55" s="5">
        <f t="shared" si="2"/>
        <v>-1000</v>
      </c>
      <c r="E55" s="9">
        <f t="shared" si="3"/>
        <v>0</v>
      </c>
    </row>
    <row r="56" spans="1:10" x14ac:dyDescent="0.2">
      <c r="A56" s="3" t="s">
        <v>80</v>
      </c>
      <c r="B56" s="4"/>
      <c r="C56" s="5">
        <f>1000</f>
        <v>1000</v>
      </c>
      <c r="D56" s="5">
        <f t="shared" si="2"/>
        <v>-1000</v>
      </c>
      <c r="E56" s="9">
        <f t="shared" si="3"/>
        <v>0</v>
      </c>
    </row>
    <row r="57" spans="1:10" x14ac:dyDescent="0.2">
      <c r="A57" s="3" t="s">
        <v>79</v>
      </c>
      <c r="B57" s="5">
        <f>1140</f>
        <v>1140</v>
      </c>
      <c r="C57" s="5">
        <f>500</f>
        <v>500</v>
      </c>
      <c r="D57" s="5">
        <f t="shared" si="2"/>
        <v>640</v>
      </c>
      <c r="E57" s="22">
        <f t="shared" si="3"/>
        <v>2.2799999999999998</v>
      </c>
      <c r="F57" s="21" t="s">
        <v>179</v>
      </c>
      <c r="G57" s="17"/>
      <c r="H57" s="17"/>
      <c r="I57" s="17"/>
      <c r="J57" s="17"/>
    </row>
    <row r="58" spans="1:10" x14ac:dyDescent="0.2">
      <c r="A58" s="3" t="s">
        <v>78</v>
      </c>
      <c r="B58" s="4"/>
      <c r="C58" s="5">
        <f>500</f>
        <v>500</v>
      </c>
      <c r="D58" s="5">
        <f t="shared" si="2"/>
        <v>-500</v>
      </c>
      <c r="E58" s="9">
        <f t="shared" si="3"/>
        <v>0</v>
      </c>
    </row>
    <row r="59" spans="1:10" x14ac:dyDescent="0.2">
      <c r="A59" s="3" t="s">
        <v>25</v>
      </c>
      <c r="B59" s="7">
        <f>((((((B52)+(B53))+(B54))+(B55))+(B56))+(B57))+(B58)</f>
        <v>23392.16</v>
      </c>
      <c r="C59" s="7">
        <f>((((((C52)+(C53))+(C54))+(C55))+(C56))+(C57))+(C58)</f>
        <v>28500</v>
      </c>
      <c r="D59" s="7">
        <f t="shared" si="2"/>
        <v>-5107.84</v>
      </c>
      <c r="E59" s="8">
        <f t="shared" si="3"/>
        <v>0.82077754385964907</v>
      </c>
    </row>
    <row r="60" spans="1:10" x14ac:dyDescent="0.2">
      <c r="A60" s="3" t="s">
        <v>26</v>
      </c>
      <c r="B60" s="4"/>
      <c r="C60" s="4"/>
      <c r="D60" s="5">
        <f t="shared" si="2"/>
        <v>0</v>
      </c>
      <c r="E60" s="9" t="str">
        <f t="shared" si="3"/>
        <v/>
      </c>
    </row>
    <row r="61" spans="1:10" x14ac:dyDescent="0.2">
      <c r="A61" s="3" t="s">
        <v>77</v>
      </c>
      <c r="B61" s="4"/>
      <c r="C61" s="5">
        <f>100</f>
        <v>100</v>
      </c>
      <c r="D61" s="5">
        <f t="shared" si="2"/>
        <v>-100</v>
      </c>
      <c r="E61" s="9">
        <f t="shared" si="3"/>
        <v>0</v>
      </c>
    </row>
    <row r="62" spans="1:10" x14ac:dyDescent="0.2">
      <c r="A62" s="3" t="s">
        <v>27</v>
      </c>
      <c r="B62" s="5">
        <f>7189.51</f>
        <v>7189.51</v>
      </c>
      <c r="C62" s="5">
        <f>7500</f>
        <v>7500</v>
      </c>
      <c r="D62" s="5">
        <f t="shared" ref="D62:D93" si="4">(B62)-(C62)</f>
        <v>-310.48999999999978</v>
      </c>
      <c r="E62" s="9">
        <f t="shared" ref="E62:E93" si="5">IF(C62=0,"",(B62)/(C62))</f>
        <v>0.95860133333333342</v>
      </c>
    </row>
    <row r="63" spans="1:10" x14ac:dyDescent="0.2">
      <c r="A63" s="3" t="s">
        <v>28</v>
      </c>
      <c r="B63" s="5">
        <f>44505.81</f>
        <v>44505.81</v>
      </c>
      <c r="C63" s="5">
        <f>46318</f>
        <v>46318</v>
      </c>
      <c r="D63" s="5">
        <f t="shared" si="4"/>
        <v>-1812.1900000000023</v>
      </c>
      <c r="E63" s="9">
        <f t="shared" si="5"/>
        <v>0.96087503778228767</v>
      </c>
    </row>
    <row r="64" spans="1:10" x14ac:dyDescent="0.2">
      <c r="A64" s="3" t="s">
        <v>29</v>
      </c>
      <c r="B64" s="10">
        <f>32857.88</f>
        <v>32857.879999999997</v>
      </c>
      <c r="C64" s="5">
        <f>29650</f>
        <v>29650</v>
      </c>
      <c r="D64" s="5">
        <f t="shared" si="4"/>
        <v>3207.8799999999974</v>
      </c>
      <c r="E64" s="22">
        <f t="shared" si="5"/>
        <v>1.1081915682967958</v>
      </c>
      <c r="F64" s="21" t="s">
        <v>181</v>
      </c>
      <c r="G64" s="21"/>
      <c r="H64" s="21"/>
      <c r="I64" s="21"/>
    </row>
    <row r="65" spans="1:8" x14ac:dyDescent="0.2">
      <c r="A65" s="3" t="s">
        <v>76</v>
      </c>
      <c r="B65" s="5">
        <f>1102.5</f>
        <v>1102.5</v>
      </c>
      <c r="C65" s="4"/>
      <c r="D65" s="5">
        <f t="shared" si="4"/>
        <v>1102.5</v>
      </c>
      <c r="E65" s="9" t="str">
        <f t="shared" si="5"/>
        <v/>
      </c>
    </row>
    <row r="66" spans="1:8" x14ac:dyDescent="0.2">
      <c r="A66" s="3" t="s">
        <v>30</v>
      </c>
      <c r="B66" s="5">
        <f>238</f>
        <v>238</v>
      </c>
      <c r="C66" s="4"/>
      <c r="D66" s="5">
        <f t="shared" si="4"/>
        <v>238</v>
      </c>
      <c r="E66" s="9" t="str">
        <f t="shared" si="5"/>
        <v/>
      </c>
    </row>
    <row r="67" spans="1:8" x14ac:dyDescent="0.2">
      <c r="A67" s="3" t="s">
        <v>75</v>
      </c>
      <c r="B67" s="4"/>
      <c r="C67" s="5">
        <f>10000</f>
        <v>10000</v>
      </c>
      <c r="D67" s="5">
        <f t="shared" si="4"/>
        <v>-10000</v>
      </c>
      <c r="E67" s="9">
        <f t="shared" si="5"/>
        <v>0</v>
      </c>
    </row>
    <row r="68" spans="1:8" x14ac:dyDescent="0.2">
      <c r="A68" s="3" t="s">
        <v>74</v>
      </c>
      <c r="B68" s="5">
        <f>384</f>
        <v>384</v>
      </c>
      <c r="C68" s="4"/>
      <c r="D68" s="5">
        <f t="shared" si="4"/>
        <v>384</v>
      </c>
      <c r="E68" s="9" t="str">
        <f t="shared" si="5"/>
        <v/>
      </c>
    </row>
    <row r="69" spans="1:8" x14ac:dyDescent="0.2">
      <c r="A69" s="3" t="s">
        <v>31</v>
      </c>
      <c r="B69" s="7">
        <f>((((((((B60)+(B61))+(B62))+(B63))+(B64))+(B65))+(B66))+(B67))+(B68)</f>
        <v>86277.7</v>
      </c>
      <c r="C69" s="7">
        <f>((((((((C60)+(C61))+(C62))+(C63))+(C64))+(C65))+(C66))+(C67))+(C68)</f>
        <v>93568</v>
      </c>
      <c r="D69" s="7">
        <f t="shared" si="4"/>
        <v>-7290.3000000000029</v>
      </c>
      <c r="E69" s="8">
        <f t="shared" si="5"/>
        <v>0.9220855420656634</v>
      </c>
    </row>
    <row r="70" spans="1:8" x14ac:dyDescent="0.2">
      <c r="A70" s="3" t="s">
        <v>32</v>
      </c>
      <c r="B70" s="4"/>
      <c r="C70" s="4"/>
      <c r="D70" s="5">
        <f t="shared" si="4"/>
        <v>0</v>
      </c>
      <c r="E70" s="9" t="str">
        <f t="shared" si="5"/>
        <v/>
      </c>
    </row>
    <row r="71" spans="1:8" x14ac:dyDescent="0.2">
      <c r="A71" s="3" t="s">
        <v>73</v>
      </c>
      <c r="B71" s="5">
        <f>4374.34</f>
        <v>4374.34</v>
      </c>
      <c r="C71" s="5">
        <f>11500</f>
        <v>11500</v>
      </c>
      <c r="D71" s="5">
        <f t="shared" si="4"/>
        <v>-7125.66</v>
      </c>
      <c r="E71" s="9">
        <f t="shared" si="5"/>
        <v>0.38037739130434783</v>
      </c>
    </row>
    <row r="72" spans="1:8" x14ac:dyDescent="0.2">
      <c r="A72" s="3" t="s">
        <v>33</v>
      </c>
      <c r="B72" s="10">
        <f>7400</f>
        <v>7400</v>
      </c>
      <c r="C72" s="5">
        <f>7000</f>
        <v>7000</v>
      </c>
      <c r="D72" s="5">
        <f t="shared" si="4"/>
        <v>400</v>
      </c>
      <c r="E72" s="22">
        <f t="shared" si="5"/>
        <v>1.0571428571428572</v>
      </c>
      <c r="F72" s="23" t="s">
        <v>180</v>
      </c>
      <c r="G72" s="20"/>
      <c r="H72" s="20"/>
    </row>
    <row r="73" spans="1:8" x14ac:dyDescent="0.2">
      <c r="A73" s="3" t="s">
        <v>34</v>
      </c>
      <c r="B73" s="5">
        <f>20044.39</f>
        <v>20044.39</v>
      </c>
      <c r="C73" s="5">
        <f>33000</f>
        <v>33000</v>
      </c>
      <c r="D73" s="5">
        <f t="shared" si="4"/>
        <v>-12955.61</v>
      </c>
      <c r="E73" s="9">
        <f t="shared" si="5"/>
        <v>0.60740575757575754</v>
      </c>
    </row>
    <row r="74" spans="1:8" x14ac:dyDescent="0.2">
      <c r="A74" s="3" t="s">
        <v>72</v>
      </c>
      <c r="B74" s="5">
        <f>52.93</f>
        <v>52.93</v>
      </c>
      <c r="C74" s="5">
        <f>4360</f>
        <v>4360</v>
      </c>
      <c r="D74" s="5">
        <f t="shared" si="4"/>
        <v>-4307.07</v>
      </c>
      <c r="E74" s="9">
        <f t="shared" si="5"/>
        <v>1.2139908256880733E-2</v>
      </c>
    </row>
    <row r="75" spans="1:8" x14ac:dyDescent="0.2">
      <c r="A75" s="3" t="s">
        <v>35</v>
      </c>
      <c r="B75" s="5">
        <f>6000</f>
        <v>6000</v>
      </c>
      <c r="C75" s="5">
        <f>6300</f>
        <v>6300</v>
      </c>
      <c r="D75" s="5">
        <f t="shared" si="4"/>
        <v>-300</v>
      </c>
      <c r="E75" s="9">
        <f t="shared" si="5"/>
        <v>0.95238095238095233</v>
      </c>
    </row>
    <row r="76" spans="1:8" x14ac:dyDescent="0.2">
      <c r="A76" s="3" t="s">
        <v>36</v>
      </c>
      <c r="B76" s="5">
        <f>350</f>
        <v>350</v>
      </c>
      <c r="C76" s="5">
        <f>420</f>
        <v>420</v>
      </c>
      <c r="D76" s="5">
        <f t="shared" si="4"/>
        <v>-70</v>
      </c>
      <c r="E76" s="9">
        <f t="shared" si="5"/>
        <v>0.83333333333333337</v>
      </c>
    </row>
    <row r="77" spans="1:8" x14ac:dyDescent="0.2">
      <c r="A77" s="3" t="s">
        <v>37</v>
      </c>
      <c r="B77" s="7">
        <f>((((((B70)+(B71))+(B72))+(B73))+(B74))+(B75))+(B76)</f>
        <v>38221.660000000003</v>
      </c>
      <c r="C77" s="7">
        <f>((((((C70)+(C71))+(C72))+(C73))+(C74))+(C75))+(C76)</f>
        <v>62580</v>
      </c>
      <c r="D77" s="7">
        <f t="shared" si="4"/>
        <v>-24358.339999999997</v>
      </c>
      <c r="E77" s="8">
        <f t="shared" si="5"/>
        <v>0.61076478108021737</v>
      </c>
    </row>
    <row r="78" spans="1:8" x14ac:dyDescent="0.2">
      <c r="A78" s="3" t="s">
        <v>38</v>
      </c>
      <c r="B78" s="4"/>
      <c r="C78" s="4"/>
      <c r="D78" s="5">
        <f t="shared" si="4"/>
        <v>0</v>
      </c>
      <c r="E78" s="9" t="str">
        <f t="shared" si="5"/>
        <v/>
      </c>
    </row>
    <row r="79" spans="1:8" x14ac:dyDescent="0.2">
      <c r="A79" s="3" t="s">
        <v>39</v>
      </c>
      <c r="B79" s="10">
        <f>61194.37</f>
        <v>61194.37</v>
      </c>
      <c r="C79" s="5">
        <v>61200</v>
      </c>
      <c r="D79" s="5">
        <f t="shared" si="4"/>
        <v>-5.6299999999973807</v>
      </c>
      <c r="E79" s="24">
        <f t="shared" si="5"/>
        <v>0.9999080065359478</v>
      </c>
      <c r="F79" s="25"/>
    </row>
    <row r="80" spans="1:8" x14ac:dyDescent="0.2">
      <c r="A80" s="3" t="s">
        <v>71</v>
      </c>
      <c r="B80" s="5">
        <f>3221</f>
        <v>3221</v>
      </c>
      <c r="C80" s="5">
        <f>3250</f>
        <v>3250</v>
      </c>
      <c r="D80" s="5">
        <f t="shared" si="4"/>
        <v>-29</v>
      </c>
      <c r="E80" s="9">
        <f t="shared" si="5"/>
        <v>0.99107692307692308</v>
      </c>
    </row>
    <row r="81" spans="1:5" x14ac:dyDescent="0.2">
      <c r="A81" s="3" t="s">
        <v>70</v>
      </c>
      <c r="B81" s="4"/>
      <c r="C81" s="5">
        <f>60000</f>
        <v>60000</v>
      </c>
      <c r="D81" s="5">
        <f t="shared" si="4"/>
        <v>-60000</v>
      </c>
      <c r="E81" s="9">
        <f t="shared" si="5"/>
        <v>0</v>
      </c>
    </row>
    <row r="82" spans="1:5" x14ac:dyDescent="0.2">
      <c r="A82" s="3" t="s">
        <v>69</v>
      </c>
      <c r="B82" s="4"/>
      <c r="C82" s="5">
        <f>2490</f>
        <v>2490</v>
      </c>
      <c r="D82" s="5">
        <f t="shared" si="4"/>
        <v>-2490</v>
      </c>
      <c r="E82" s="9">
        <f t="shared" si="5"/>
        <v>0</v>
      </c>
    </row>
    <row r="83" spans="1:5" x14ac:dyDescent="0.2">
      <c r="A83" s="3" t="s">
        <v>40</v>
      </c>
      <c r="B83" s="7">
        <f>((((B78)+(B79))+(B80))+(B81))+(B82)</f>
        <v>64415.37</v>
      </c>
      <c r="C83" s="7">
        <f>((((C78)+(C79))+(C80))+(C81))+(C82)</f>
        <v>126940</v>
      </c>
      <c r="D83" s="7">
        <f t="shared" si="4"/>
        <v>-62524.63</v>
      </c>
      <c r="E83" s="8">
        <f t="shared" si="5"/>
        <v>0.50744737671340789</v>
      </c>
    </row>
    <row r="84" spans="1:5" x14ac:dyDescent="0.2">
      <c r="A84" s="3" t="s">
        <v>41</v>
      </c>
      <c r="B84" s="4"/>
      <c r="C84" s="4"/>
      <c r="D84" s="5">
        <f t="shared" si="4"/>
        <v>0</v>
      </c>
      <c r="E84" s="9" t="str">
        <f t="shared" si="5"/>
        <v/>
      </c>
    </row>
    <row r="85" spans="1:5" x14ac:dyDescent="0.2">
      <c r="A85" s="3" t="s">
        <v>42</v>
      </c>
      <c r="B85" s="5">
        <f>2612</f>
        <v>2612</v>
      </c>
      <c r="C85" s="5">
        <f>5000</f>
        <v>5000</v>
      </c>
      <c r="D85" s="5">
        <f t="shared" si="4"/>
        <v>-2388</v>
      </c>
      <c r="E85" s="9">
        <f t="shared" si="5"/>
        <v>0.52239999999999998</v>
      </c>
    </row>
    <row r="86" spans="1:5" x14ac:dyDescent="0.2">
      <c r="A86" s="3" t="s">
        <v>43</v>
      </c>
      <c r="B86" s="7">
        <f>(B84)+(B85)</f>
        <v>2612</v>
      </c>
      <c r="C86" s="7">
        <f>(C84)+(C85)</f>
        <v>5000</v>
      </c>
      <c r="D86" s="7">
        <f t="shared" si="4"/>
        <v>-2388</v>
      </c>
      <c r="E86" s="8">
        <f t="shared" si="5"/>
        <v>0.52239999999999998</v>
      </c>
    </row>
    <row r="87" spans="1:5" x14ac:dyDescent="0.2">
      <c r="A87" s="3" t="s">
        <v>68</v>
      </c>
      <c r="B87" s="4"/>
      <c r="C87" s="4"/>
      <c r="D87" s="5">
        <f t="shared" si="4"/>
        <v>0</v>
      </c>
      <c r="E87" s="9" t="str">
        <f t="shared" si="5"/>
        <v/>
      </c>
    </row>
    <row r="88" spans="1:5" x14ac:dyDescent="0.2">
      <c r="A88" s="3" t="s">
        <v>67</v>
      </c>
      <c r="B88" s="4"/>
      <c r="C88" s="5">
        <f>100</f>
        <v>100</v>
      </c>
      <c r="D88" s="5">
        <f t="shared" si="4"/>
        <v>-100</v>
      </c>
      <c r="E88" s="9">
        <f t="shared" si="5"/>
        <v>0</v>
      </c>
    </row>
    <row r="89" spans="1:5" x14ac:dyDescent="0.2">
      <c r="A89" s="3" t="s">
        <v>66</v>
      </c>
      <c r="B89" s="5">
        <f>1000</f>
        <v>1000</v>
      </c>
      <c r="C89" s="5">
        <f>1000</f>
        <v>1000</v>
      </c>
      <c r="D89" s="5">
        <f t="shared" si="4"/>
        <v>0</v>
      </c>
      <c r="E89" s="9">
        <f t="shared" si="5"/>
        <v>1</v>
      </c>
    </row>
    <row r="90" spans="1:5" x14ac:dyDescent="0.2">
      <c r="A90" s="3" t="s">
        <v>65</v>
      </c>
      <c r="B90" s="4"/>
      <c r="C90" s="5">
        <f>500</f>
        <v>500</v>
      </c>
      <c r="D90" s="5">
        <f t="shared" si="4"/>
        <v>-500</v>
      </c>
      <c r="E90" s="9">
        <f t="shared" si="5"/>
        <v>0</v>
      </c>
    </row>
    <row r="91" spans="1:5" x14ac:dyDescent="0.2">
      <c r="A91" s="3" t="s">
        <v>64</v>
      </c>
      <c r="B91" s="4"/>
      <c r="C91" s="5">
        <f>100</f>
        <v>100</v>
      </c>
      <c r="D91" s="5">
        <f t="shared" si="4"/>
        <v>-100</v>
      </c>
      <c r="E91" s="9">
        <f t="shared" si="5"/>
        <v>0</v>
      </c>
    </row>
    <row r="92" spans="1:5" x14ac:dyDescent="0.2">
      <c r="A92" s="3" t="s">
        <v>63</v>
      </c>
      <c r="B92" s="7">
        <f>((((B87)+(B88))+(B89))+(B90))+(B91)</f>
        <v>1000</v>
      </c>
      <c r="C92" s="7">
        <f>((((C87)+(C88))+(C89))+(C90))+(C91)</f>
        <v>1700</v>
      </c>
      <c r="D92" s="7">
        <f t="shared" si="4"/>
        <v>-700</v>
      </c>
      <c r="E92" s="8">
        <f t="shared" si="5"/>
        <v>0.58823529411764708</v>
      </c>
    </row>
    <row r="93" spans="1:5" x14ac:dyDescent="0.2">
      <c r="A93" s="3" t="s">
        <v>62</v>
      </c>
      <c r="B93" s="4"/>
      <c r="C93" s="5">
        <f>100</f>
        <v>100</v>
      </c>
      <c r="D93" s="5">
        <f t="shared" si="4"/>
        <v>-100</v>
      </c>
      <c r="E93" s="9">
        <f t="shared" si="5"/>
        <v>0</v>
      </c>
    </row>
    <row r="94" spans="1:5" x14ac:dyDescent="0.2">
      <c r="A94" s="3" t="s">
        <v>61</v>
      </c>
      <c r="B94" s="4"/>
      <c r="C94" s="4"/>
      <c r="D94" s="5">
        <f t="shared" ref="D94:D106" si="6">(B94)-(C94)</f>
        <v>0</v>
      </c>
      <c r="E94" s="9" t="str">
        <f t="shared" ref="E94:E106" si="7">IF(C94=0,"",(B94)/(C94))</f>
        <v/>
      </c>
    </row>
    <row r="95" spans="1:5" x14ac:dyDescent="0.2">
      <c r="A95" s="3" t="s">
        <v>60</v>
      </c>
      <c r="B95" s="4"/>
      <c r="C95" s="5">
        <f>100</f>
        <v>100</v>
      </c>
      <c r="D95" s="5">
        <f t="shared" si="6"/>
        <v>-100</v>
      </c>
      <c r="E95" s="9">
        <f t="shared" si="7"/>
        <v>0</v>
      </c>
    </row>
    <row r="96" spans="1:5" x14ac:dyDescent="0.2">
      <c r="A96" s="3" t="s">
        <v>59</v>
      </c>
      <c r="B96" s="7">
        <f>(B94)+(B95)</f>
        <v>0</v>
      </c>
      <c r="C96" s="7">
        <f>(C94)+(C95)</f>
        <v>100</v>
      </c>
      <c r="D96" s="7">
        <f t="shared" si="6"/>
        <v>-100</v>
      </c>
      <c r="E96" s="8">
        <f t="shared" si="7"/>
        <v>0</v>
      </c>
    </row>
    <row r="97" spans="1:13" x14ac:dyDescent="0.2">
      <c r="A97" s="3" t="s">
        <v>44</v>
      </c>
      <c r="B97" s="4"/>
      <c r="C97" s="4"/>
      <c r="D97" s="5">
        <f t="shared" si="6"/>
        <v>0</v>
      </c>
      <c r="E97" s="9" t="str">
        <f t="shared" si="7"/>
        <v/>
      </c>
    </row>
    <row r="98" spans="1:13" x14ac:dyDescent="0.2">
      <c r="A98" s="3" t="s">
        <v>58</v>
      </c>
      <c r="B98" s="4"/>
      <c r="C98" s="5">
        <f>100</f>
        <v>100</v>
      </c>
      <c r="D98" s="5">
        <f t="shared" si="6"/>
        <v>-100</v>
      </c>
      <c r="E98" s="9">
        <f t="shared" si="7"/>
        <v>0</v>
      </c>
    </row>
    <row r="99" spans="1:13" x14ac:dyDescent="0.2">
      <c r="A99" s="3" t="s">
        <v>45</v>
      </c>
      <c r="B99" s="5">
        <f>11979.09</f>
        <v>11979.09</v>
      </c>
      <c r="C99" s="5">
        <f>12500</f>
        <v>12500</v>
      </c>
      <c r="D99" s="5">
        <f t="shared" si="6"/>
        <v>-520.90999999999985</v>
      </c>
      <c r="E99" s="9">
        <f t="shared" si="7"/>
        <v>0.95832720000000005</v>
      </c>
    </row>
    <row r="100" spans="1:13" x14ac:dyDescent="0.2">
      <c r="A100" s="3" t="s">
        <v>46</v>
      </c>
      <c r="B100" s="10">
        <f>43528.39</f>
        <v>43528.39</v>
      </c>
      <c r="C100" s="5">
        <f>35000</f>
        <v>35000</v>
      </c>
      <c r="D100" s="5">
        <f t="shared" si="6"/>
        <v>8528.39</v>
      </c>
      <c r="E100" s="22">
        <f t="shared" si="7"/>
        <v>1.2436682857142858</v>
      </c>
      <c r="F100" s="23" t="s">
        <v>182</v>
      </c>
      <c r="G100" s="20"/>
      <c r="H100" s="20"/>
      <c r="I100" s="26"/>
      <c r="J100" s="20"/>
      <c r="K100" s="20"/>
      <c r="L100" s="20"/>
      <c r="M100" s="20"/>
    </row>
    <row r="101" spans="1:13" x14ac:dyDescent="0.2">
      <c r="A101" s="3" t="s">
        <v>47</v>
      </c>
      <c r="B101" s="7">
        <f>(((B97)+(B98))+(B99))+(B100)</f>
        <v>55507.479999999996</v>
      </c>
      <c r="C101" s="7">
        <f>(((C97)+(C98))+(C99))+(C100)</f>
        <v>47600</v>
      </c>
      <c r="D101" s="7">
        <f t="shared" si="6"/>
        <v>7907.4799999999959</v>
      </c>
      <c r="E101" s="8">
        <f t="shared" si="7"/>
        <v>1.1661235294117647</v>
      </c>
    </row>
    <row r="102" spans="1:13" x14ac:dyDescent="0.2">
      <c r="A102" s="3" t="s">
        <v>57</v>
      </c>
      <c r="B102" s="5">
        <f>176.26</f>
        <v>176.26</v>
      </c>
      <c r="C102" s="4"/>
      <c r="D102" s="5">
        <f t="shared" si="6"/>
        <v>176.26</v>
      </c>
      <c r="E102" s="9" t="str">
        <f t="shared" si="7"/>
        <v/>
      </c>
    </row>
    <row r="103" spans="1:13" x14ac:dyDescent="0.2">
      <c r="A103" s="3" t="s">
        <v>56</v>
      </c>
      <c r="B103" s="5">
        <f>1500</f>
        <v>1500</v>
      </c>
      <c r="C103" s="4"/>
      <c r="D103" s="5">
        <f t="shared" si="6"/>
        <v>1500</v>
      </c>
      <c r="E103" s="9" t="str">
        <f t="shared" si="7"/>
        <v/>
      </c>
    </row>
    <row r="104" spans="1:13" x14ac:dyDescent="0.2">
      <c r="A104" s="3" t="s">
        <v>48</v>
      </c>
      <c r="B104" s="7">
        <f>(((((((((((((B40)+(B45))+(B51))+(B59))+(B69))+(B77))+(B83))+(B86))+(B92))+(B93))+(B96))+(B101))+(B102))+(B103)</f>
        <v>497252.48</v>
      </c>
      <c r="C104" s="7">
        <f>(((((((((((((C40)+(C45))+(C51))+(C59))+(C69))+(C77))+(C83))+(C86))+(C92))+(C93))+(C96))+(C101))+(C102))+(C103)</f>
        <v>621113</v>
      </c>
      <c r="D104" s="7">
        <f t="shared" si="6"/>
        <v>-123860.52000000002</v>
      </c>
      <c r="E104" s="8">
        <f t="shared" si="7"/>
        <v>0.80058295350443476</v>
      </c>
    </row>
    <row r="105" spans="1:13" x14ac:dyDescent="0.2">
      <c r="A105" s="3" t="s">
        <v>49</v>
      </c>
      <c r="B105" s="7">
        <f>(B28)-(B104)</f>
        <v>70296.130000000121</v>
      </c>
      <c r="C105" s="7">
        <f>(C28)-(C104)</f>
        <v>18440</v>
      </c>
      <c r="D105" s="7">
        <f t="shared" si="6"/>
        <v>51856.130000000121</v>
      </c>
      <c r="E105" s="8">
        <f t="shared" si="7"/>
        <v>3.8121545553145402</v>
      </c>
    </row>
    <row r="106" spans="1:13" x14ac:dyDescent="0.2">
      <c r="A106" s="3" t="s">
        <v>50</v>
      </c>
      <c r="B106" s="7">
        <f>(B105)+(0)</f>
        <v>70296.130000000121</v>
      </c>
      <c r="C106" s="7">
        <f>(C105)+(0)</f>
        <v>18440</v>
      </c>
      <c r="D106" s="7">
        <f t="shared" si="6"/>
        <v>51856.130000000121</v>
      </c>
      <c r="E106" s="8">
        <f t="shared" si="7"/>
        <v>3.8121545553145402</v>
      </c>
    </row>
    <row r="107" spans="1:13" x14ac:dyDescent="0.2">
      <c r="A107" s="3"/>
      <c r="B107" s="4"/>
      <c r="C107" s="4"/>
      <c r="D107" s="4"/>
      <c r="E107" s="4"/>
    </row>
    <row r="110" spans="1:13" x14ac:dyDescent="0.2">
      <c r="A110" s="11" t="s">
        <v>55</v>
      </c>
      <c r="B110" s="12"/>
      <c r="C110" s="12"/>
      <c r="D110" s="12"/>
      <c r="E110" s="12"/>
    </row>
  </sheetData>
  <mergeCells count="5">
    <mergeCell ref="B5:E5"/>
    <mergeCell ref="A110:E110"/>
    <mergeCell ref="A1:E1"/>
    <mergeCell ref="A2:E2"/>
    <mergeCell ref="A3:E3"/>
  </mergeCells>
  <hyperlinks>
    <hyperlink ref="B33" r:id="rId1" display="C:\Users\laura\Downloads\Misc.xlsx" xr:uid="{06EC137D-A481-4BA6-B387-9BA1BF37F6EA}"/>
    <hyperlink ref="B64" r:id="rId2" display="C:\Users\laura\Downloads\Web.xlsx" xr:uid="{479B68F0-C70E-4EDD-A2A0-29B332885B73}"/>
    <hyperlink ref="B72" r:id="rId3" display="C:\Users\laura\Downloads\awards.xlsx" xr:uid="{73B72670-6E62-4E09-BB6E-15FAAB08418D}"/>
    <hyperlink ref="B79" r:id="rId4" display="C:\Users\laura\Downloads\Dues.xlsx" xr:uid="{4B1A76A3-1C82-4E79-832E-3E510CD69CDC}"/>
    <hyperlink ref="B100" r:id="rId5" display="C:\Users\laura\Downloads\Member.xlsx" xr:uid="{65B41E08-0367-4AA1-9BB2-8257AA9C15D8}"/>
  </hyperlink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955D1-5D75-4371-B188-9A90E49EF37E}">
  <dimension ref="A1:B69"/>
  <sheetViews>
    <sheetView workbookViewId="0">
      <selection sqref="A1:B1"/>
    </sheetView>
  </sheetViews>
  <sheetFormatPr baseColWidth="10" defaultColWidth="8.83203125" defaultRowHeight="15" x14ac:dyDescent="0.2"/>
  <cols>
    <col min="1" max="1" width="44.6640625" customWidth="1"/>
    <col min="2" max="2" width="37.83203125" customWidth="1"/>
  </cols>
  <sheetData>
    <row r="1" spans="1:2" ht="18" x14ac:dyDescent="0.2">
      <c r="A1" s="13" t="s">
        <v>52</v>
      </c>
      <c r="B1" s="12"/>
    </row>
    <row r="2" spans="1:2" ht="18" x14ac:dyDescent="0.2">
      <c r="A2" s="13" t="s">
        <v>175</v>
      </c>
      <c r="B2" s="12"/>
    </row>
    <row r="3" spans="1:2" x14ac:dyDescent="0.2">
      <c r="A3" s="14" t="s">
        <v>174</v>
      </c>
      <c r="B3" s="12"/>
    </row>
    <row r="5" spans="1:2" x14ac:dyDescent="0.2">
      <c r="A5" s="1"/>
      <c r="B5" s="2" t="s">
        <v>0</v>
      </c>
    </row>
    <row r="6" spans="1:2" x14ac:dyDescent="0.2">
      <c r="A6" s="3" t="s">
        <v>173</v>
      </c>
      <c r="B6" s="4"/>
    </row>
    <row r="7" spans="1:2" x14ac:dyDescent="0.2">
      <c r="A7" s="3" t="s">
        <v>172</v>
      </c>
      <c r="B7" s="4"/>
    </row>
    <row r="8" spans="1:2" x14ac:dyDescent="0.2">
      <c r="A8" s="3" t="s">
        <v>171</v>
      </c>
      <c r="B8" s="4"/>
    </row>
    <row r="9" spans="1:2" x14ac:dyDescent="0.2">
      <c r="A9" s="3" t="s">
        <v>170</v>
      </c>
      <c r="B9" s="5">
        <f>490873.16</f>
        <v>490873.16</v>
      </c>
    </row>
    <row r="10" spans="1:2" x14ac:dyDescent="0.2">
      <c r="A10" s="3" t="s">
        <v>169</v>
      </c>
      <c r="B10" s="5">
        <f>41192.78</f>
        <v>41192.78</v>
      </c>
    </row>
    <row r="11" spans="1:2" x14ac:dyDescent="0.2">
      <c r="A11" s="3" t="s">
        <v>168</v>
      </c>
      <c r="B11" s="5">
        <f>86784.57</f>
        <v>86784.57</v>
      </c>
    </row>
    <row r="12" spans="1:2" x14ac:dyDescent="0.2">
      <c r="A12" s="3" t="s">
        <v>167</v>
      </c>
      <c r="B12" s="5">
        <f>423896.22</f>
        <v>423896.22</v>
      </c>
    </row>
    <row r="13" spans="1:2" x14ac:dyDescent="0.2">
      <c r="A13" s="3" t="s">
        <v>166</v>
      </c>
      <c r="B13" s="5">
        <f>89046.3</f>
        <v>89046.3</v>
      </c>
    </row>
    <row r="14" spans="1:2" x14ac:dyDescent="0.2">
      <c r="A14" s="3" t="s">
        <v>165</v>
      </c>
      <c r="B14" s="5">
        <f>71372.68</f>
        <v>71372.679999999993</v>
      </c>
    </row>
    <row r="15" spans="1:2" x14ac:dyDescent="0.2">
      <c r="A15" s="3" t="s">
        <v>164</v>
      </c>
      <c r="B15" s="5">
        <f>50</f>
        <v>50</v>
      </c>
    </row>
    <row r="16" spans="1:2" x14ac:dyDescent="0.2">
      <c r="A16" s="3" t="s">
        <v>163</v>
      </c>
      <c r="B16" s="5">
        <f>8926.75</f>
        <v>8926.75</v>
      </c>
    </row>
    <row r="17" spans="1:2" x14ac:dyDescent="0.2">
      <c r="A17" s="3" t="s">
        <v>162</v>
      </c>
      <c r="B17" s="5">
        <f>24470.45</f>
        <v>24470.45</v>
      </c>
    </row>
    <row r="18" spans="1:2" x14ac:dyDescent="0.2">
      <c r="A18" s="3" t="s">
        <v>161</v>
      </c>
      <c r="B18" s="5">
        <f>24384.66</f>
        <v>24384.66</v>
      </c>
    </row>
    <row r="19" spans="1:2" x14ac:dyDescent="0.2">
      <c r="A19" s="3" t="s">
        <v>160</v>
      </c>
      <c r="B19" s="5">
        <f>17218.05</f>
        <v>17218.05</v>
      </c>
    </row>
    <row r="20" spans="1:2" x14ac:dyDescent="0.2">
      <c r="A20" s="3" t="s">
        <v>159</v>
      </c>
      <c r="B20" s="5">
        <f>52972.25</f>
        <v>52972.25</v>
      </c>
    </row>
    <row r="21" spans="1:2" x14ac:dyDescent="0.2">
      <c r="A21" s="3" t="s">
        <v>158</v>
      </c>
      <c r="B21" s="5">
        <f>97456.55</f>
        <v>97456.55</v>
      </c>
    </row>
    <row r="22" spans="1:2" x14ac:dyDescent="0.2">
      <c r="A22" s="3" t="s">
        <v>157</v>
      </c>
      <c r="B22" s="5">
        <f>31565.75</f>
        <v>31565.75</v>
      </c>
    </row>
    <row r="23" spans="1:2" x14ac:dyDescent="0.2">
      <c r="A23" s="3" t="s">
        <v>156</v>
      </c>
      <c r="B23" s="5">
        <f>10621.57</f>
        <v>10621.57</v>
      </c>
    </row>
    <row r="24" spans="1:2" x14ac:dyDescent="0.2">
      <c r="A24" s="3" t="s">
        <v>155</v>
      </c>
      <c r="B24" s="5">
        <f>85075.56</f>
        <v>85075.56</v>
      </c>
    </row>
    <row r="25" spans="1:2" x14ac:dyDescent="0.2">
      <c r="A25" s="3" t="s">
        <v>154</v>
      </c>
      <c r="B25" s="5">
        <f>32469.95</f>
        <v>32469.95</v>
      </c>
    </row>
    <row r="26" spans="1:2" x14ac:dyDescent="0.2">
      <c r="A26" s="3" t="s">
        <v>153</v>
      </c>
      <c r="B26" s="5">
        <f>0</f>
        <v>0</v>
      </c>
    </row>
    <row r="27" spans="1:2" x14ac:dyDescent="0.2">
      <c r="A27" s="3" t="s">
        <v>152</v>
      </c>
      <c r="B27" s="5">
        <f>139263.87</f>
        <v>139263.87</v>
      </c>
    </row>
    <row r="28" spans="1:2" x14ac:dyDescent="0.2">
      <c r="A28" s="3" t="s">
        <v>151</v>
      </c>
      <c r="B28" s="5">
        <f>30918.31</f>
        <v>30918.31</v>
      </c>
    </row>
    <row r="29" spans="1:2" x14ac:dyDescent="0.2">
      <c r="A29" s="3" t="s">
        <v>150</v>
      </c>
      <c r="B29" s="5">
        <f>68383.13</f>
        <v>68383.13</v>
      </c>
    </row>
    <row r="30" spans="1:2" x14ac:dyDescent="0.2">
      <c r="A30" s="3" t="s">
        <v>149</v>
      </c>
      <c r="B30" s="5">
        <f>20134.84</f>
        <v>20134.84</v>
      </c>
    </row>
    <row r="31" spans="1:2" x14ac:dyDescent="0.2">
      <c r="A31" s="3" t="s">
        <v>148</v>
      </c>
      <c r="B31" s="5">
        <f>7418.84</f>
        <v>7418.84</v>
      </c>
    </row>
    <row r="32" spans="1:2" x14ac:dyDescent="0.2">
      <c r="A32" s="3" t="s">
        <v>147</v>
      </c>
      <c r="B32" s="5">
        <f>11850.32</f>
        <v>11850.32</v>
      </c>
    </row>
    <row r="33" spans="1:2" x14ac:dyDescent="0.2">
      <c r="A33" s="3" t="s">
        <v>146</v>
      </c>
      <c r="B33" s="5">
        <f>15472.43</f>
        <v>15472.43</v>
      </c>
    </row>
    <row r="34" spans="1:2" x14ac:dyDescent="0.2">
      <c r="A34" s="3" t="s">
        <v>145</v>
      </c>
      <c r="B34" s="5">
        <f>33036.49</f>
        <v>33036.49</v>
      </c>
    </row>
    <row r="35" spans="1:2" x14ac:dyDescent="0.2">
      <c r="A35" s="3" t="s">
        <v>144</v>
      </c>
      <c r="B35" s="7">
        <f>(((((((((((((((((((((((((B9)+(B10))+(B11))+(B12))+(B13))+(B14))+(B15))+(B16))+(B17))+(B18))+(B19))+(B20))+(B21))+(B22))+(B23))+(B24))+(B25))+(B26))+(B27))+(B28))+(B29))+(B30))+(B31))+(B32))+(B33))+(B34)</f>
        <v>1914855.4800000002</v>
      </c>
    </row>
    <row r="36" spans="1:2" x14ac:dyDescent="0.2">
      <c r="A36" s="3" t="s">
        <v>143</v>
      </c>
      <c r="B36" s="4"/>
    </row>
    <row r="37" spans="1:2" x14ac:dyDescent="0.2">
      <c r="A37" s="3" t="s">
        <v>142</v>
      </c>
      <c r="B37" s="5">
        <f>0</f>
        <v>0</v>
      </c>
    </row>
    <row r="38" spans="1:2" x14ac:dyDescent="0.2">
      <c r="A38" s="3" t="s">
        <v>141</v>
      </c>
      <c r="B38" s="7">
        <f>B37</f>
        <v>0</v>
      </c>
    </row>
    <row r="39" spans="1:2" x14ac:dyDescent="0.2">
      <c r="A39" s="3" t="s">
        <v>140</v>
      </c>
      <c r="B39" s="7">
        <f>(B35)+(B38)</f>
        <v>1914855.4800000002</v>
      </c>
    </row>
    <row r="40" spans="1:2" x14ac:dyDescent="0.2">
      <c r="A40" s="3" t="s">
        <v>139</v>
      </c>
      <c r="B40" s="7">
        <f>B39</f>
        <v>1914855.4800000002</v>
      </c>
    </row>
    <row r="41" spans="1:2" x14ac:dyDescent="0.2">
      <c r="A41" s="3" t="s">
        <v>138</v>
      </c>
      <c r="B41" s="4"/>
    </row>
    <row r="42" spans="1:2" x14ac:dyDescent="0.2">
      <c r="A42" s="3" t="s">
        <v>137</v>
      </c>
      <c r="B42" s="4"/>
    </row>
    <row r="43" spans="1:2" x14ac:dyDescent="0.2">
      <c r="A43" s="3" t="s">
        <v>136</v>
      </c>
      <c r="B43" s="4"/>
    </row>
    <row r="44" spans="1:2" x14ac:dyDescent="0.2">
      <c r="A44" s="3" t="s">
        <v>135</v>
      </c>
      <c r="B44" s="4"/>
    </row>
    <row r="45" spans="1:2" x14ac:dyDescent="0.2">
      <c r="A45" s="3" t="s">
        <v>134</v>
      </c>
      <c r="B45" s="5">
        <f>0</f>
        <v>0</v>
      </c>
    </row>
    <row r="46" spans="1:2" x14ac:dyDescent="0.2">
      <c r="A46" s="3" t="s">
        <v>133</v>
      </c>
      <c r="B46" s="7">
        <f>B45</f>
        <v>0</v>
      </c>
    </row>
    <row r="47" spans="1:2" x14ac:dyDescent="0.2">
      <c r="A47" s="3" t="s">
        <v>132</v>
      </c>
      <c r="B47" s="4"/>
    </row>
    <row r="48" spans="1:2" x14ac:dyDescent="0.2">
      <c r="A48" s="3" t="s">
        <v>131</v>
      </c>
      <c r="B48" s="5">
        <f>0</f>
        <v>0</v>
      </c>
    </row>
    <row r="49" spans="1:2" x14ac:dyDescent="0.2">
      <c r="A49" s="3" t="s">
        <v>130</v>
      </c>
      <c r="B49" s="5">
        <f>0</f>
        <v>0</v>
      </c>
    </row>
    <row r="50" spans="1:2" x14ac:dyDescent="0.2">
      <c r="A50" s="3" t="s">
        <v>129</v>
      </c>
      <c r="B50" s="5">
        <f>0</f>
        <v>0</v>
      </c>
    </row>
    <row r="51" spans="1:2" x14ac:dyDescent="0.2">
      <c r="A51" s="3" t="s">
        <v>128</v>
      </c>
      <c r="B51" s="7">
        <f>((B48)+(B49))+(B50)</f>
        <v>0</v>
      </c>
    </row>
    <row r="52" spans="1:2" x14ac:dyDescent="0.2">
      <c r="A52" s="3" t="s">
        <v>127</v>
      </c>
      <c r="B52" s="4"/>
    </row>
    <row r="53" spans="1:2" x14ac:dyDescent="0.2">
      <c r="A53" s="3" t="s">
        <v>126</v>
      </c>
      <c r="B53" s="5">
        <f>0</f>
        <v>0</v>
      </c>
    </row>
    <row r="54" spans="1:2" x14ac:dyDescent="0.2">
      <c r="A54" s="3" t="s">
        <v>125</v>
      </c>
      <c r="B54" s="5">
        <f>4000</f>
        <v>4000</v>
      </c>
    </row>
    <row r="55" spans="1:2" x14ac:dyDescent="0.2">
      <c r="A55" s="3" t="s">
        <v>124</v>
      </c>
      <c r="B55" s="7">
        <f>(B53)+(B54)</f>
        <v>4000</v>
      </c>
    </row>
    <row r="56" spans="1:2" x14ac:dyDescent="0.2">
      <c r="A56" s="3" t="s">
        <v>123</v>
      </c>
      <c r="B56" s="7">
        <f>((B46)+(B51))+(B55)</f>
        <v>4000</v>
      </c>
    </row>
    <row r="57" spans="1:2" x14ac:dyDescent="0.2">
      <c r="A57" s="3" t="s">
        <v>122</v>
      </c>
      <c r="B57" s="7">
        <f>B56</f>
        <v>4000</v>
      </c>
    </row>
    <row r="58" spans="1:2" x14ac:dyDescent="0.2">
      <c r="A58" s="3" t="s">
        <v>121</v>
      </c>
      <c r="B58" s="4"/>
    </row>
    <row r="59" spans="1:2" x14ac:dyDescent="0.2">
      <c r="A59" s="3" t="s">
        <v>120</v>
      </c>
      <c r="B59" s="5">
        <f>788648.64</f>
        <v>788648.64</v>
      </c>
    </row>
    <row r="60" spans="1:2" x14ac:dyDescent="0.2">
      <c r="A60" s="3" t="s">
        <v>119</v>
      </c>
      <c r="B60" s="5">
        <f>586254.83</f>
        <v>586254.82999999996</v>
      </c>
    </row>
    <row r="61" spans="1:2" x14ac:dyDescent="0.2">
      <c r="A61" s="3" t="s">
        <v>118</v>
      </c>
      <c r="B61" s="5">
        <f>23466.99</f>
        <v>23466.99</v>
      </c>
    </row>
    <row r="62" spans="1:2" x14ac:dyDescent="0.2">
      <c r="A62" s="3" t="s">
        <v>117</v>
      </c>
      <c r="B62" s="5">
        <f>510169.42</f>
        <v>510169.42</v>
      </c>
    </row>
    <row r="63" spans="1:2" x14ac:dyDescent="0.2">
      <c r="A63" s="3" t="s">
        <v>116</v>
      </c>
      <c r="B63" s="5">
        <f>2315.6</f>
        <v>2315.6</v>
      </c>
    </row>
    <row r="64" spans="1:2" x14ac:dyDescent="0.2">
      <c r="A64" s="3" t="s">
        <v>115</v>
      </c>
      <c r="B64" s="7">
        <f>((((B59)+(B60))+(B61))+(B62))+(B63)</f>
        <v>1910855.48</v>
      </c>
    </row>
    <row r="65" spans="1:2" x14ac:dyDescent="0.2">
      <c r="A65" s="3" t="s">
        <v>114</v>
      </c>
      <c r="B65" s="7">
        <f>(B57)+(B64)</f>
        <v>1914855.48</v>
      </c>
    </row>
    <row r="66" spans="1:2" x14ac:dyDescent="0.2">
      <c r="A66" s="3"/>
      <c r="B66" s="4"/>
    </row>
    <row r="69" spans="1:2" x14ac:dyDescent="0.2">
      <c r="A69" s="11" t="s">
        <v>113</v>
      </c>
      <c r="B69" s="12"/>
    </row>
  </sheetData>
  <mergeCells count="4">
    <mergeCell ref="A69:B69"/>
    <mergeCell ref="A1:B1"/>
    <mergeCell ref="A2:B2"/>
    <mergeCell ref="A3:B3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Profit and Loss</vt:lpstr>
      <vt:lpstr>Budget vs. Actuals</vt:lpstr>
      <vt:lpstr>Balance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2021-12-09T23:16:43Z</cp:lastPrinted>
  <dcterms:created xsi:type="dcterms:W3CDTF">2021-12-03T02:16:40Z</dcterms:created>
  <dcterms:modified xsi:type="dcterms:W3CDTF">2021-12-09T23:23:30Z</dcterms:modified>
</cp:coreProperties>
</file>